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9270" windowHeight="4200"/>
  </bookViews>
  <sheets>
    <sheet name="Setup" sheetId="4" r:id="rId1"/>
    <sheet name="Data collection" sheetId="7" r:id="rId2"/>
    <sheet name="Calculation" sheetId="8" r:id="rId3"/>
    <sheet name="Report" sheetId="15" r:id="rId4"/>
    <sheet name="Globals" sheetId="14" state="hidden" r:id="rId5"/>
    <sheet name="Trans.dim." sheetId="1" state="hidden" r:id="rId6"/>
    <sheet name="S2_send" sheetId="10" state="hidden" r:id="rId7"/>
    <sheet name="S1_send" sheetId="2" state="hidden" r:id="rId8"/>
    <sheet name="S2_return" sheetId="11" state="hidden" r:id="rId9"/>
    <sheet name="S1-return" sheetId="3" state="hidden" r:id="rId10"/>
    <sheet name="Companies" sheetId="16" r:id="rId11"/>
  </sheets>
  <definedNames>
    <definedName name="Blank">Globals!$B$6</definedName>
    <definedName name="CL_address1">Setup!$C$18</definedName>
    <definedName name="CL_address2">Setup!$C$19</definedName>
    <definedName name="CL_contact">Setup!$C$26</definedName>
    <definedName name="CL_country">Setup!$C$22</definedName>
    <definedName name="CL_fax">Setup!$C$24</definedName>
    <definedName name="CL_name">Setup!$C$17</definedName>
    <definedName name="CL_phone">Setup!$C$23</definedName>
    <definedName name="CL_town">Setup!$C$21</definedName>
    <definedName name="CL_zip">Setup!$C$20</definedName>
    <definedName name="Companies">Companies!$B$3:$I$17</definedName>
    <definedName name="Currency">'Data collection'!$I$35</definedName>
    <definedName name="Cust_name">'Data collection'!$I$13</definedName>
    <definedName name="Cust_project">'Data collection'!$I$14</definedName>
    <definedName name="Days_year">'Data collection'!$I$36</definedName>
    <definedName name="Item_cost">'Data collection'!$I$85</definedName>
    <definedName name="Item_descrip">'Data collection'!$I$32</definedName>
    <definedName name="Item_weight">'Data collection'!$I$33</definedName>
    <definedName name="Measure">Globals!$B$7</definedName>
    <definedName name="Notype">Globals!$B$4</definedName>
    <definedName name="Page_length">Globals!$B$5</definedName>
    <definedName name="S1_batch_method">'Data collection'!$A$230</definedName>
    <definedName name="S1_batch_size">'Data collection'!$A$200</definedName>
    <definedName name="S1_box">'Data collection'!$I$20</definedName>
    <definedName name="S1_box_bh">'Data collection'!$I$50</definedName>
    <definedName name="S1_box_ch">'Data collection'!$I$47</definedName>
    <definedName name="S1_box_cost_assem">'Data collection'!$I$80</definedName>
    <definedName name="S1_box_cost_main">'Data collection'!$I$94</definedName>
    <definedName name="S1_box_cost_return">'Data collection'!$I$184</definedName>
    <definedName name="S1_box_cost_send">'Data collection'!$I$139</definedName>
    <definedName name="S1_box_h">'Data collection'!$I$44</definedName>
    <definedName name="S1_box_hand">'Data collection'!$I$54</definedName>
    <definedName name="S1_box_item">'Data collection'!$I$56</definedName>
    <definedName name="S1_box_l">'Data collection'!$I$42</definedName>
    <definedName name="S1_box_lease">'Data collection'!$A$65</definedName>
    <definedName name="S1_box_mt">'Data collection'!$I$49</definedName>
    <definedName name="S1_box_price">'Data collection'!$I$63</definedName>
    <definedName name="S1_box_trans_return">'Data collection'!$A$164</definedName>
    <definedName name="S1_box_trans_send">'Data collection'!$A$119</definedName>
    <definedName name="S1_box_vol">'Data collection'!$I$45</definedName>
    <definedName name="S1_box_w">'Data collection'!$I$43</definedName>
    <definedName name="S1_box_weight">'Data collection'!$I$52</definedName>
    <definedName name="S1_cost_return">'Data collection'!$I$183</definedName>
    <definedName name="S1_cost_send">'Data collection'!$I$138</definedName>
    <definedName name="S1_damage">'Data collection'!$I$87</definedName>
    <definedName name="S1_damage_cost">'Data collection'!#REF!</definedName>
    <definedName name="S1_descrip">'Data collection'!$I$22</definedName>
    <definedName name="S1_return_2w">'S1-return'!$C$27</definedName>
    <definedName name="S1_return_4w">'S1-return'!$C$141</definedName>
    <definedName name="S1_return_h">'Data collection'!$A$157</definedName>
    <definedName name="S1_return_hand">'Data collection'!$A$146</definedName>
    <definedName name="S1_return_l">'Data collection'!$A$155</definedName>
    <definedName name="S1_return_vol">'Data collection'!$A$158</definedName>
    <definedName name="S1_return_w">'Data collection'!$A$156</definedName>
    <definedName name="S1_return_weight">'Data collection'!$I$175</definedName>
    <definedName name="S1_send_2w">S1_send!$C$27</definedName>
    <definedName name="S1_send_4w">S1_send!$C$141</definedName>
    <definedName name="S1_send_h">'Data collection'!$A$112</definedName>
    <definedName name="S1_send_hand">'Data collection'!$A$101</definedName>
    <definedName name="S1_send_l">'Data collection'!$A$110</definedName>
    <definedName name="S1_send_vol">'Data collection'!$A$113</definedName>
    <definedName name="S1_send_w">'Data collection'!$A$111</definedName>
    <definedName name="S1_send_weight">'Data collection'!$I$130</definedName>
    <definedName name="S1_stat">'Data collection'!$A$19</definedName>
    <definedName name="S1_time_hand">'Data collection'!$I$194</definedName>
    <definedName name="S1_time_receiver">'Data collection'!$I$196</definedName>
    <definedName name="S1_time_return">'Data collection'!$I$197</definedName>
    <definedName name="S1_time_send">'Data collection'!$I$195</definedName>
    <definedName name="S1_time_total">'Data collection'!$I$198</definedName>
    <definedName name="S1_tolerance">'Data collection'!$I$27</definedName>
    <definedName name="S1_trans_return">'Data collection'!$I$144</definedName>
    <definedName name="S1_trans_send">'Data collection'!$I$99</definedName>
    <definedName name="S1_trip">'Data collection'!$I$206</definedName>
    <definedName name="S1_type">'Data collection'!$I$19</definedName>
    <definedName name="S1_type_return">'Data collection'!$I$145</definedName>
    <definedName name="S1_type_send">'Data collection'!$I$100</definedName>
    <definedName name="S2_batch_method">'Data collection'!$B$230</definedName>
    <definedName name="S2_batch_size">'Data collection'!$B$200</definedName>
    <definedName name="S2_box">'Data collection'!$K$20</definedName>
    <definedName name="S2_box_bh">'Data collection'!$K$50</definedName>
    <definedName name="S2_box_ch">'Data collection'!$K$47</definedName>
    <definedName name="S2_box_cost_assem">'Data collection'!$K$80</definedName>
    <definedName name="S2_box_cost_main">'Data collection'!$K$94</definedName>
    <definedName name="S2_box_cost_return">'Data collection'!$K$184</definedName>
    <definedName name="S2_box_cost_send">'Data collection'!$K$139</definedName>
    <definedName name="S2_box_h">'Data collection'!$K$44</definedName>
    <definedName name="S2_box_hand">'Data collection'!$K$54</definedName>
    <definedName name="S2_box_item">'Data collection'!$K$56</definedName>
    <definedName name="S2_box_l">'Data collection'!$K$42</definedName>
    <definedName name="S2_box_lease">'Data collection'!$B$65</definedName>
    <definedName name="S2_box_mt">'Data collection'!$K$49</definedName>
    <definedName name="S2_box_price">'Data collection'!$K$63</definedName>
    <definedName name="S2_box_trans_return">'Data collection'!$B$164</definedName>
    <definedName name="S2_box_trans_send">'Data collection'!$B$119</definedName>
    <definedName name="S2_box_vol">'Data collection'!$K$45</definedName>
    <definedName name="S2_box_w">'Data collection'!$K$43</definedName>
    <definedName name="S2_box_weight">'Data collection'!$K$52</definedName>
    <definedName name="S2_cost_return">'Data collection'!$K$183</definedName>
    <definedName name="S2_cost_send">'Data collection'!$K$138</definedName>
    <definedName name="S2_damage">'Data collection'!$K$87</definedName>
    <definedName name="S2_damage_cost">'Data collection'!#REF!</definedName>
    <definedName name="S2_descrip">'Data collection'!$K$22</definedName>
    <definedName name="S2_return_2w">S2_return!$C$27</definedName>
    <definedName name="S2_return_4w">S2_return!$C$141</definedName>
    <definedName name="S2_return_h">'Data collection'!$B$157</definedName>
    <definedName name="S2_return_hand">'Data collection'!$B$146</definedName>
    <definedName name="S2_return_l">'Data collection'!$B$155</definedName>
    <definedName name="S2_return_vol">'Data collection'!$B$158</definedName>
    <definedName name="S2_return_w">'Data collection'!$B$156</definedName>
    <definedName name="S2_return_weight">'Data collection'!$K$175</definedName>
    <definedName name="S2_send_2w">S2_send!$C$27</definedName>
    <definedName name="S2_send_4w">S2_send!$C$141</definedName>
    <definedName name="S2_send_h">'Data collection'!$B$112</definedName>
    <definedName name="S2_send_hand">'Data collection'!$B$101</definedName>
    <definedName name="S2_send_l">'Data collection'!$B$110</definedName>
    <definedName name="S2_send_vol">'Data collection'!$B$113</definedName>
    <definedName name="S2_send_w">'Data collection'!$B$111</definedName>
    <definedName name="S2_send_weight">'Data collection'!$K$130</definedName>
    <definedName name="S2_stat">'Data collection'!$B$19</definedName>
    <definedName name="S2_time_hand">'Data collection'!$K$194</definedName>
    <definedName name="S2_time_receiver">'Data collection'!$K$196</definedName>
    <definedName name="S2_time_return">'Data collection'!$K$197</definedName>
    <definedName name="S2_time_send">'Data collection'!$K$195</definedName>
    <definedName name="S2_time_total">'Data collection'!$K$198</definedName>
    <definedName name="S2_tolerance">'Data collection'!$K$27</definedName>
    <definedName name="S2_trans_return">'Data collection'!$K$144</definedName>
    <definedName name="S2_trans_send">'Data collection'!$K$99</definedName>
    <definedName name="S2_trip">'Data collection'!$K$206</definedName>
    <definedName name="S2_type">'Data collection'!$K$19</definedName>
    <definedName name="S2_type_return">'Data collection'!$K$145</definedName>
    <definedName name="S2_type_send">'Data collection'!$K$100</definedName>
    <definedName name="Study_date">'Data collection'!$I$17</definedName>
    <definedName name="Study_ver">'Data collection'!$I$16</definedName>
    <definedName name="Transport_dim">Trans.dim.!$A$6:$G$15</definedName>
    <definedName name="_xlnm.Print_Area" localSheetId="2">Calculation!$D$17:$R$105</definedName>
    <definedName name="_xlnm.Print_Area" localSheetId="1">'Data collection'!$D$10:$L$232</definedName>
    <definedName name="_xlnm.Print_Area" localSheetId="3">Report!$D$1:$O$455</definedName>
    <definedName name="_xlnm.Print_Titles" localSheetId="2">Calculation!$2:$25</definedName>
    <definedName name="_xlnm.Print_Titles" localSheetId="1">'Data collection'!$2:$9</definedName>
  </definedNames>
  <calcPr calcId="125725"/>
</workbook>
</file>

<file path=xl/calcChain.xml><?xml version="1.0" encoding="utf-8"?>
<calcChain xmlns="http://schemas.openxmlformats.org/spreadsheetml/2006/main">
  <c r="Q14" i="8"/>
  <c r="O14"/>
  <c r="M14"/>
  <c r="K14"/>
  <c r="H65" i="7"/>
  <c r="H184"/>
  <c r="H183"/>
  <c r="C8" i="11"/>
  <c r="C7"/>
  <c r="C6"/>
  <c r="C8" i="3"/>
  <c r="C7"/>
  <c r="C6"/>
  <c r="R3" i="8"/>
  <c r="B7" i="14"/>
  <c r="I256" i="15" s="1"/>
  <c r="C24" i="4"/>
  <c r="C23"/>
  <c r="C22"/>
  <c r="C21"/>
  <c r="C20"/>
  <c r="C19"/>
  <c r="L7" i="7" s="1"/>
  <c r="C18" i="4"/>
  <c r="D41" i="15" s="1"/>
  <c r="B19" i="7"/>
  <c r="B95" i="8" s="1"/>
  <c r="A19" i="7"/>
  <c r="A65" s="1"/>
  <c r="D403" i="15"/>
  <c r="D402"/>
  <c r="D348"/>
  <c r="D347"/>
  <c r="D309"/>
  <c r="D308"/>
  <c r="D268"/>
  <c r="D267"/>
  <c r="D227"/>
  <c r="D226"/>
  <c r="D198"/>
  <c r="D197"/>
  <c r="D159"/>
  <c r="D158"/>
  <c r="D100"/>
  <c r="D99"/>
  <c r="D52"/>
  <c r="D53"/>
  <c r="B440" l="1"/>
  <c r="D440" s="1"/>
  <c r="B384"/>
  <c r="A92" i="8"/>
  <c r="A384" i="15"/>
  <c r="D384" s="1"/>
  <c r="B439"/>
  <c r="D439" s="1"/>
  <c r="B385"/>
  <c r="B92" i="8"/>
  <c r="E92" s="1"/>
  <c r="A385" i="15"/>
  <c r="D385" s="1"/>
  <c r="B52" i="8"/>
  <c r="E52" s="1"/>
  <c r="A52"/>
  <c r="B55"/>
  <c r="B65" i="7"/>
  <c r="I170" i="15"/>
  <c r="B96" i="2"/>
  <c r="H88" i="10"/>
  <c r="B123" i="3"/>
  <c r="B53" i="11"/>
  <c r="B96"/>
  <c r="B122"/>
  <c r="H23"/>
  <c r="H59"/>
  <c r="H74"/>
  <c r="H115"/>
  <c r="H130"/>
  <c r="K149" i="7"/>
  <c r="B155" s="1"/>
  <c r="C12" i="11" s="1"/>
  <c r="I253" i="15"/>
  <c r="H40" i="2"/>
  <c r="B29"/>
  <c r="B122"/>
  <c r="B52" i="10"/>
  <c r="B121"/>
  <c r="H129"/>
  <c r="B54" i="3"/>
  <c r="H24"/>
  <c r="B6" i="11"/>
  <c r="B29"/>
  <c r="H43"/>
  <c r="B15" i="2"/>
  <c r="B51" i="10"/>
  <c r="B15" i="3"/>
  <c r="B32" i="11"/>
  <c r="H129"/>
  <c r="B8" i="2"/>
  <c r="H113"/>
  <c r="B79"/>
  <c r="B17" i="10"/>
  <c r="B95"/>
  <c r="H57"/>
  <c r="B30" i="3"/>
  <c r="B106"/>
  <c r="H101"/>
  <c r="B13" i="11"/>
  <c r="B33"/>
  <c r="B79"/>
  <c r="B92"/>
  <c r="B109"/>
  <c r="B135"/>
  <c r="H99"/>
  <c r="H172" i="7"/>
  <c r="B7" i="2"/>
  <c r="H71"/>
  <c r="B52"/>
  <c r="B95"/>
  <c r="B138"/>
  <c r="B68" i="10"/>
  <c r="B120"/>
  <c r="H46"/>
  <c r="H127"/>
  <c r="B29" i="3"/>
  <c r="B79"/>
  <c r="B122"/>
  <c r="H59"/>
  <c r="H130"/>
  <c r="B12" i="11"/>
  <c r="B52"/>
  <c r="B82"/>
  <c r="H88"/>
  <c r="K106" i="7"/>
  <c r="B112" s="1"/>
  <c r="H88" i="2"/>
  <c r="B66"/>
  <c r="B135"/>
  <c r="B65" i="10"/>
  <c r="H40"/>
  <c r="B67" i="3"/>
  <c r="B136"/>
  <c r="H116"/>
  <c r="B51" i="11"/>
  <c r="B68"/>
  <c r="B81"/>
  <c r="B94"/>
  <c r="B107"/>
  <c r="B124"/>
  <c r="B137"/>
  <c r="H25"/>
  <c r="H46"/>
  <c r="H71"/>
  <c r="H87"/>
  <c r="H102"/>
  <c r="H127"/>
  <c r="I150" i="7"/>
  <c r="A156" s="1"/>
  <c r="C13" i="3" s="1"/>
  <c r="K151" i="7"/>
  <c r="B157" s="1"/>
  <c r="C14" i="11" s="1"/>
  <c r="I105" i="7"/>
  <c r="A111" s="1"/>
  <c r="H73" i="2"/>
  <c r="B53"/>
  <c r="B6" i="10"/>
  <c r="B78"/>
  <c r="B138"/>
  <c r="B7" i="3"/>
  <c r="B80"/>
  <c r="H60"/>
  <c r="B66" i="11"/>
  <c r="I104" i="7"/>
  <c r="A110" s="1"/>
  <c r="H25" i="2"/>
  <c r="H102"/>
  <c r="B78"/>
  <c r="B121"/>
  <c r="B15" i="10"/>
  <c r="B94"/>
  <c r="B137"/>
  <c r="H87"/>
  <c r="B6" i="3"/>
  <c r="B53"/>
  <c r="B96"/>
  <c r="H23"/>
  <c r="H99"/>
  <c r="B9" i="11"/>
  <c r="B17"/>
  <c r="B65"/>
  <c r="B78"/>
  <c r="B95"/>
  <c r="B108"/>
  <c r="B121"/>
  <c r="B134"/>
  <c r="B138"/>
  <c r="H40"/>
  <c r="H57"/>
  <c r="H73"/>
  <c r="H113"/>
  <c r="I151" i="7"/>
  <c r="A157" s="1"/>
  <c r="C14" i="3" s="1"/>
  <c r="I251" i="15"/>
  <c r="H113" i="7"/>
  <c r="I292" i="15"/>
  <c r="B17" i="2"/>
  <c r="H57"/>
  <c r="H129"/>
  <c r="B33"/>
  <c r="B92"/>
  <c r="B109"/>
  <c r="B12" i="10"/>
  <c r="B32"/>
  <c r="B82"/>
  <c r="B108"/>
  <c r="B134"/>
  <c r="H73"/>
  <c r="H113"/>
  <c r="B14" i="3"/>
  <c r="B50"/>
  <c r="B93"/>
  <c r="B110"/>
  <c r="H45"/>
  <c r="H85"/>
  <c r="B8" i="11"/>
  <c r="B15"/>
  <c r="B31"/>
  <c r="B64"/>
  <c r="B120"/>
  <c r="H107" i="7"/>
  <c r="I288" i="15"/>
  <c r="K105" i="7"/>
  <c r="B111" s="1"/>
  <c r="B14" i="2"/>
  <c r="H46"/>
  <c r="H87"/>
  <c r="H127"/>
  <c r="B32"/>
  <c r="B65"/>
  <c r="B82"/>
  <c r="B108"/>
  <c r="B134"/>
  <c r="B9" i="10"/>
  <c r="B31"/>
  <c r="B64"/>
  <c r="B81"/>
  <c r="B107"/>
  <c r="B124"/>
  <c r="H25"/>
  <c r="H71"/>
  <c r="H102"/>
  <c r="K45" i="7"/>
  <c r="B13" i="3"/>
  <c r="B33"/>
  <c r="B66"/>
  <c r="B92"/>
  <c r="B109"/>
  <c r="B135"/>
  <c r="H43"/>
  <c r="H74"/>
  <c r="H115"/>
  <c r="B7" i="11"/>
  <c r="B14"/>
  <c r="B30"/>
  <c r="B50"/>
  <c r="B54"/>
  <c r="B67"/>
  <c r="B80"/>
  <c r="B93"/>
  <c r="B106"/>
  <c r="B110"/>
  <c r="B123"/>
  <c r="B136"/>
  <c r="H24"/>
  <c r="H45"/>
  <c r="H60"/>
  <c r="H85"/>
  <c r="H101"/>
  <c r="H116"/>
  <c r="I149" i="7"/>
  <c r="A155" s="1"/>
  <c r="C12" i="3" s="1"/>
  <c r="K150" i="7"/>
  <c r="B156" s="1"/>
  <c r="C13" i="11" s="1"/>
  <c r="C9"/>
  <c r="R5" i="8"/>
  <c r="R4"/>
  <c r="I198" i="7"/>
  <c r="H45"/>
  <c r="H158"/>
  <c r="I247" i="15"/>
  <c r="I45" i="7"/>
  <c r="C9" i="2" s="1"/>
  <c r="K104" i="7"/>
  <c r="B110" s="1"/>
  <c r="B6" i="2"/>
  <c r="B13"/>
  <c r="H24"/>
  <c r="H45"/>
  <c r="H60"/>
  <c r="H85"/>
  <c r="H101"/>
  <c r="H116"/>
  <c r="B9"/>
  <c r="B31"/>
  <c r="B51"/>
  <c r="B64"/>
  <c r="B68"/>
  <c r="B81"/>
  <c r="B94"/>
  <c r="B107"/>
  <c r="B120"/>
  <c r="B124"/>
  <c r="B137"/>
  <c r="B8" i="10"/>
  <c r="B14"/>
  <c r="B30"/>
  <c r="B50"/>
  <c r="B54"/>
  <c r="B67"/>
  <c r="B80"/>
  <c r="B93"/>
  <c r="B106"/>
  <c r="B110"/>
  <c r="B123"/>
  <c r="B136"/>
  <c r="H24"/>
  <c r="H45"/>
  <c r="H60"/>
  <c r="H85"/>
  <c r="H101"/>
  <c r="H116"/>
  <c r="D42" i="15"/>
  <c r="R7" i="8"/>
  <c r="B12" i="3"/>
  <c r="B9"/>
  <c r="B32"/>
  <c r="B52"/>
  <c r="B65"/>
  <c r="B78"/>
  <c r="B82"/>
  <c r="B95"/>
  <c r="B108"/>
  <c r="B121"/>
  <c r="B134"/>
  <c r="B138"/>
  <c r="H40"/>
  <c r="H57"/>
  <c r="H73"/>
  <c r="H88"/>
  <c r="H113"/>
  <c r="H129"/>
  <c r="L5" i="7"/>
  <c r="D44" i="15"/>
  <c r="L4" i="7"/>
  <c r="D43" i="15"/>
  <c r="H152" i="7"/>
  <c r="H127"/>
  <c r="I178" i="15"/>
  <c r="I294"/>
  <c r="I106" i="7"/>
  <c r="A112" s="1"/>
  <c r="B12" i="2"/>
  <c r="H23"/>
  <c r="H43"/>
  <c r="H59"/>
  <c r="H74"/>
  <c r="H99"/>
  <c r="H115"/>
  <c r="H130"/>
  <c r="B30"/>
  <c r="B50"/>
  <c r="B54"/>
  <c r="B67"/>
  <c r="B80"/>
  <c r="B93"/>
  <c r="B106"/>
  <c r="B110"/>
  <c r="B123"/>
  <c r="B136"/>
  <c r="B7" i="10"/>
  <c r="B13"/>
  <c r="B29"/>
  <c r="B33"/>
  <c r="B53"/>
  <c r="B66"/>
  <c r="B79"/>
  <c r="B92"/>
  <c r="B96"/>
  <c r="B109"/>
  <c r="B122"/>
  <c r="B135"/>
  <c r="H23"/>
  <c r="H43"/>
  <c r="H59"/>
  <c r="H74"/>
  <c r="H99"/>
  <c r="H115"/>
  <c r="H130"/>
  <c r="L6" i="7"/>
  <c r="R6" i="8"/>
  <c r="B8" i="3"/>
  <c r="B17"/>
  <c r="B31"/>
  <c r="B51"/>
  <c r="B64"/>
  <c r="B68"/>
  <c r="B81"/>
  <c r="B94"/>
  <c r="B107"/>
  <c r="B120"/>
  <c r="B124"/>
  <c r="B137"/>
  <c r="H25"/>
  <c r="H46"/>
  <c r="H71"/>
  <c r="H87"/>
  <c r="H102"/>
  <c r="H127"/>
  <c r="C9"/>
  <c r="H151" i="7"/>
  <c r="H27"/>
  <c r="H111"/>
  <c r="I246" i="15"/>
  <c r="I180"/>
  <c r="H104" i="7"/>
  <c r="I174" i="15"/>
  <c r="H33" i="7"/>
  <c r="I167" i="15"/>
  <c r="H47" i="7"/>
  <c r="H110"/>
  <c r="H150"/>
  <c r="H157"/>
  <c r="I172" i="15"/>
  <c r="I245"/>
  <c r="I287"/>
  <c r="H44" i="7"/>
  <c r="F30"/>
  <c r="H175"/>
  <c r="E73" i="15"/>
  <c r="H106" i="7"/>
  <c r="H149"/>
  <c r="H156"/>
  <c r="I169" i="15"/>
  <c r="I244"/>
  <c r="I286"/>
  <c r="H43" i="7"/>
  <c r="H50"/>
  <c r="H130"/>
  <c r="I297" i="15"/>
  <c r="H105" i="7"/>
  <c r="H112"/>
  <c r="H155"/>
  <c r="I168" i="15"/>
  <c r="I176"/>
  <c r="I285"/>
  <c r="H42" i="7"/>
  <c r="H49"/>
  <c r="H52"/>
  <c r="K198"/>
  <c r="A158" l="1"/>
  <c r="I152"/>
  <c r="B113"/>
  <c r="B158"/>
  <c r="K152"/>
  <c r="I206"/>
  <c r="I218"/>
  <c r="K206"/>
  <c r="K218"/>
  <c r="I107"/>
  <c r="K107"/>
  <c r="A113"/>
  <c r="A70" i="8"/>
  <c r="I15"/>
  <c r="B200" i="7"/>
  <c r="B6" i="14"/>
  <c r="B230" i="7"/>
  <c r="K63"/>
  <c r="K94" s="1"/>
  <c r="I63"/>
  <c r="I94" s="1"/>
  <c r="A200"/>
  <c r="A230"/>
  <c r="D30" i="15"/>
  <c r="I194"/>
  <c r="D104"/>
  <c r="I75" i="7"/>
  <c r="I80" s="1"/>
  <c r="C12" i="2"/>
  <c r="C13"/>
  <c r="A101" i="7"/>
  <c r="C6" i="2"/>
  <c r="C7"/>
  <c r="C8"/>
  <c r="C17"/>
  <c r="C45"/>
  <c r="I45" s="1"/>
  <c r="I138" i="7"/>
  <c r="A146"/>
  <c r="C17" i="3"/>
  <c r="E43" s="1"/>
  <c r="I43" s="1"/>
  <c r="C45"/>
  <c r="I45" s="1"/>
  <c r="I183" i="7"/>
  <c r="A98" i="8"/>
  <c r="K70" i="7"/>
  <c r="K75" s="1"/>
  <c r="K80" s="1"/>
  <c r="C12" i="10"/>
  <c r="C14"/>
  <c r="B101" i="7"/>
  <c r="C6" i="10"/>
  <c r="C7"/>
  <c r="C8"/>
  <c r="C17"/>
  <c r="C45"/>
  <c r="I45" s="1"/>
  <c r="A101" i="8"/>
  <c r="K138" i="7"/>
  <c r="B146"/>
  <c r="C17" i="11"/>
  <c r="C45"/>
  <c r="I45" s="1"/>
  <c r="A76" i="8"/>
  <c r="K183" i="7"/>
  <c r="A104" i="8"/>
  <c r="B114" i="15"/>
  <c r="B110"/>
  <c r="B299"/>
  <c r="M299" s="1"/>
  <c r="B285"/>
  <c r="M285" s="1"/>
  <c r="B302"/>
  <c r="M302" s="1"/>
  <c r="B260"/>
  <c r="M260" s="1"/>
  <c r="B190"/>
  <c r="M190" s="1"/>
  <c r="B84" i="8"/>
  <c r="G84" s="1"/>
  <c r="B80"/>
  <c r="G80" s="1"/>
  <c r="C9" i="10"/>
  <c r="F44" i="7"/>
  <c r="F43"/>
  <c r="F42"/>
  <c r="B251" i="15"/>
  <c r="B169"/>
  <c r="M169" s="1"/>
  <c r="B294"/>
  <c r="H59" i="7"/>
  <c r="H60"/>
  <c r="H180"/>
  <c r="H179"/>
  <c r="H139"/>
  <c r="H138"/>
  <c r="H135"/>
  <c r="H134"/>
  <c r="H80"/>
  <c r="H77"/>
  <c r="H76"/>
  <c r="H75"/>
  <c r="H70"/>
  <c r="H85"/>
  <c r="H94"/>
  <c r="H63"/>
  <c r="L3"/>
  <c r="H14" i="1"/>
  <c r="B344" i="15"/>
  <c r="M344" s="1"/>
  <c r="E344"/>
  <c r="B335"/>
  <c r="M335" s="1"/>
  <c r="B78" i="8"/>
  <c r="E78" s="1"/>
  <c r="B72"/>
  <c r="E72" s="1"/>
  <c r="B102"/>
  <c r="E102" s="1"/>
  <c r="B89"/>
  <c r="E89" s="1"/>
  <c r="G13" i="1"/>
  <c r="G11"/>
  <c r="G12"/>
  <c r="E13"/>
  <c r="H13" s="1"/>
  <c r="J13" s="1"/>
  <c r="F13"/>
  <c r="I13"/>
  <c r="E12"/>
  <c r="F12"/>
  <c r="I12"/>
  <c r="E11"/>
  <c r="H11"/>
  <c r="J11"/>
  <c r="F11"/>
  <c r="I11"/>
  <c r="H10"/>
  <c r="J10"/>
  <c r="H9"/>
  <c r="J9" s="1"/>
  <c r="H8"/>
  <c r="J8"/>
  <c r="H7"/>
  <c r="J7" s="1"/>
  <c r="H6"/>
  <c r="J6" s="1"/>
  <c r="K85" i="7"/>
  <c r="G71" i="15"/>
  <c r="I221"/>
  <c r="B333"/>
  <c r="M333" s="1"/>
  <c r="B320"/>
  <c r="B262"/>
  <c r="B246"/>
  <c r="M246" s="1"/>
  <c r="B234"/>
  <c r="M234" s="1"/>
  <c r="B212"/>
  <c r="M212" s="1"/>
  <c r="B202"/>
  <c r="M202" s="1"/>
  <c r="B184"/>
  <c r="M184" s="1"/>
  <c r="B174"/>
  <c r="M174" s="1"/>
  <c r="B86"/>
  <c r="I189"/>
  <c r="I188"/>
  <c r="D49"/>
  <c r="G73"/>
  <c r="I192"/>
  <c r="I216"/>
  <c r="I213"/>
  <c r="I212"/>
  <c r="I211"/>
  <c r="I207"/>
  <c r="I320"/>
  <c r="I303"/>
  <c r="I300"/>
  <c r="I299"/>
  <c r="I262"/>
  <c r="I259"/>
  <c r="I258"/>
  <c r="D24"/>
  <c r="D28"/>
  <c r="D22"/>
  <c r="D46"/>
  <c r="D47"/>
  <c r="D40"/>
  <c r="H181" i="7"/>
  <c r="H136"/>
  <c r="H61"/>
  <c r="H78"/>
  <c r="A11" i="11"/>
  <c r="A5"/>
  <c r="A11" i="10"/>
  <c r="A5"/>
  <c r="A11" i="3"/>
  <c r="A5"/>
  <c r="A11" i="2"/>
  <c r="A5"/>
  <c r="F7" i="8"/>
  <c r="F6"/>
  <c r="F5"/>
  <c r="F4"/>
  <c r="G7" i="7"/>
  <c r="G6"/>
  <c r="G5"/>
  <c r="G4"/>
  <c r="H182"/>
  <c r="H137"/>
  <c r="H79"/>
  <c r="H62"/>
  <c r="A80" i="8"/>
  <c r="A82"/>
  <c r="K15" l="1"/>
  <c r="F77" i="15"/>
  <c r="K160" i="7"/>
  <c r="I80" i="8"/>
  <c r="M320" i="15"/>
  <c r="C127" i="11"/>
  <c r="E127" s="1"/>
  <c r="C130" s="1"/>
  <c r="I130" s="1"/>
  <c r="E43" i="2"/>
  <c r="C46" s="1"/>
  <c r="I46" s="1"/>
  <c r="C71" i="3"/>
  <c r="C73" s="1"/>
  <c r="I73" s="1"/>
  <c r="C40" i="10"/>
  <c r="C25"/>
  <c r="I25" s="1"/>
  <c r="A86" i="8"/>
  <c r="B318" i="15"/>
  <c r="M318" s="1"/>
  <c r="B253"/>
  <c r="B170"/>
  <c r="M170" s="1"/>
  <c r="B254"/>
  <c r="B290"/>
  <c r="B116"/>
  <c r="A97" i="8"/>
  <c r="C24" i="11"/>
  <c r="I24" s="1"/>
  <c r="E80" i="8"/>
  <c r="B163" i="15"/>
  <c r="M163" s="1"/>
  <c r="B192"/>
  <c r="M192" s="1"/>
  <c r="B231"/>
  <c r="M231" s="1"/>
  <c r="B70" i="8"/>
  <c r="E70" s="1"/>
  <c r="B101"/>
  <c r="E101" s="1"/>
  <c r="B76"/>
  <c r="E76" s="1"/>
  <c r="B83"/>
  <c r="G83" s="1"/>
  <c r="B215" i="15"/>
  <c r="M215" s="1"/>
  <c r="B301"/>
  <c r="M301" s="1"/>
  <c r="B281"/>
  <c r="M281" s="1"/>
  <c r="B106"/>
  <c r="B113"/>
  <c r="A102" i="8"/>
  <c r="A72"/>
  <c r="C85" i="11"/>
  <c r="E85" s="1"/>
  <c r="C88" s="1"/>
  <c r="I88" s="1"/>
  <c r="A90" i="8"/>
  <c r="A69"/>
  <c r="I69" s="1"/>
  <c r="I70" s="1"/>
  <c r="B94" i="15"/>
  <c r="E94" s="1"/>
  <c r="B180"/>
  <c r="M180" s="1"/>
  <c r="B189"/>
  <c r="M189" s="1"/>
  <c r="B209"/>
  <c r="M209" s="1"/>
  <c r="B216"/>
  <c r="B244"/>
  <c r="M244" s="1"/>
  <c r="B258"/>
  <c r="M258" s="1"/>
  <c r="B303"/>
  <c r="B328"/>
  <c r="M328" s="1"/>
  <c r="B223"/>
  <c r="M223" s="1"/>
  <c r="B221"/>
  <c r="M221" s="1"/>
  <c r="B69" i="8"/>
  <c r="E69" s="1"/>
  <c r="B97"/>
  <c r="E97" s="1"/>
  <c r="B100"/>
  <c r="E100" s="1"/>
  <c r="B104"/>
  <c r="E104" s="1"/>
  <c r="B75"/>
  <c r="E75" s="1"/>
  <c r="B87"/>
  <c r="E87" s="1"/>
  <c r="B342" i="15"/>
  <c r="M342" s="1"/>
  <c r="B178"/>
  <c r="B295"/>
  <c r="B167"/>
  <c r="M167" s="1"/>
  <c r="B247"/>
  <c r="M247" s="1"/>
  <c r="B82" i="8"/>
  <c r="B214" i="15"/>
  <c r="M214" s="1"/>
  <c r="B284"/>
  <c r="B277"/>
  <c r="M277" s="1"/>
  <c r="B287"/>
  <c r="M287" s="1"/>
  <c r="B338"/>
  <c r="M338" s="1"/>
  <c r="B112"/>
  <c r="C71" i="11"/>
  <c r="C73" s="1"/>
  <c r="I73" s="1"/>
  <c r="A75" i="8"/>
  <c r="C24" i="10"/>
  <c r="I24" s="1"/>
  <c r="A99" i="8"/>
  <c r="I99" s="1"/>
  <c r="B194" i="15"/>
  <c r="M194" s="1"/>
  <c r="A81" i="8"/>
  <c r="K9" i="7"/>
  <c r="E95" i="8"/>
  <c r="B182" i="15"/>
  <c r="M182" s="1"/>
  <c r="B211"/>
  <c r="M211" s="1"/>
  <c r="B245"/>
  <c r="M245" s="1"/>
  <c r="B259"/>
  <c r="M259" s="1"/>
  <c r="B330"/>
  <c r="M330" s="1"/>
  <c r="B240"/>
  <c r="M240" s="1"/>
  <c r="B98" i="8"/>
  <c r="B67"/>
  <c r="E67" s="1"/>
  <c r="B292" i="15"/>
  <c r="I82" i="8"/>
  <c r="A94"/>
  <c r="A83"/>
  <c r="A84"/>
  <c r="B93" i="15"/>
  <c r="E93" s="1"/>
  <c r="B176"/>
  <c r="M176" s="1"/>
  <c r="B188"/>
  <c r="M188" s="1"/>
  <c r="B207"/>
  <c r="M207" s="1"/>
  <c r="B213"/>
  <c r="M213" s="1"/>
  <c r="B236"/>
  <c r="M236" s="1"/>
  <c r="B256"/>
  <c r="B297"/>
  <c r="B325"/>
  <c r="M325" s="1"/>
  <c r="B90" i="8"/>
  <c r="E90" s="1"/>
  <c r="B99"/>
  <c r="B103"/>
  <c r="G103" s="1"/>
  <c r="B73"/>
  <c r="E73" s="1"/>
  <c r="B86"/>
  <c r="E86" s="1"/>
  <c r="B172" i="15"/>
  <c r="M172" s="1"/>
  <c r="B288"/>
  <c r="B168"/>
  <c r="M168" s="1"/>
  <c r="B249"/>
  <c r="B81" i="8"/>
  <c r="G81" s="1"/>
  <c r="B22"/>
  <c r="G22" s="1"/>
  <c r="B191" i="15"/>
  <c r="M191" s="1"/>
  <c r="B261"/>
  <c r="M261" s="1"/>
  <c r="B275"/>
  <c r="M275" s="1"/>
  <c r="B286"/>
  <c r="M286" s="1"/>
  <c r="B300"/>
  <c r="M300" s="1"/>
  <c r="B111"/>
  <c r="B115"/>
  <c r="B117"/>
  <c r="A73" i="8"/>
  <c r="A100"/>
  <c r="I100" s="1"/>
  <c r="A103"/>
  <c r="C25" i="3"/>
  <c r="I25" s="1"/>
  <c r="B94" i="8"/>
  <c r="E94" s="1"/>
  <c r="B443" i="15"/>
  <c r="I9" i="7"/>
  <c r="C113" i="2"/>
  <c r="C115" s="1"/>
  <c r="I115" s="1"/>
  <c r="C57"/>
  <c r="E57" s="1"/>
  <c r="C60" s="1"/>
  <c r="I60" s="1"/>
  <c r="C113" i="11"/>
  <c r="C23"/>
  <c r="I23" s="1"/>
  <c r="C57"/>
  <c r="C59" s="1"/>
  <c r="I59" s="1"/>
  <c r="C85" i="2"/>
  <c r="C87" s="1"/>
  <c r="I87" s="1"/>
  <c r="C127" i="3"/>
  <c r="E127" s="1"/>
  <c r="C130" s="1"/>
  <c r="I130" s="1"/>
  <c r="B108" i="15"/>
  <c r="A87" i="8"/>
  <c r="C99" i="3"/>
  <c r="C101" s="1"/>
  <c r="I101" s="1"/>
  <c r="C85"/>
  <c r="C71" i="2"/>
  <c r="E71" s="1"/>
  <c r="I71" s="1"/>
  <c r="C23" i="3"/>
  <c r="I23" s="1"/>
  <c r="C127" i="2"/>
  <c r="E127" s="1"/>
  <c r="C130" s="1"/>
  <c r="I130" s="1"/>
  <c r="C23"/>
  <c r="I23" s="1"/>
  <c r="C99"/>
  <c r="E99" s="1"/>
  <c r="C102" s="1"/>
  <c r="I102" s="1"/>
  <c r="C113" i="3"/>
  <c r="A42" i="8"/>
  <c r="I42" s="1"/>
  <c r="A86" i="15"/>
  <c r="D86" s="1"/>
  <c r="A180"/>
  <c r="K180" s="1"/>
  <c r="A46" i="8"/>
  <c r="A236" i="15"/>
  <c r="K236" s="1"/>
  <c r="A245"/>
  <c r="K245" s="1"/>
  <c r="A325"/>
  <c r="K325" s="1"/>
  <c r="A292"/>
  <c r="A170"/>
  <c r="K170" s="1"/>
  <c r="B42" i="8"/>
  <c r="E42" s="1"/>
  <c r="A374" i="15"/>
  <c r="A260"/>
  <c r="A277"/>
  <c r="A61" i="8"/>
  <c r="A363" i="15"/>
  <c r="B364"/>
  <c r="B376"/>
  <c r="B450"/>
  <c r="B413"/>
  <c r="D413" s="1"/>
  <c r="B135"/>
  <c r="B396"/>
  <c r="A29" i="8"/>
  <c r="A388" i="15"/>
  <c r="B46" i="8"/>
  <c r="E46" s="1"/>
  <c r="A184" i="15"/>
  <c r="K184" s="1"/>
  <c r="A211"/>
  <c r="K211" s="1"/>
  <c r="A256"/>
  <c r="A303"/>
  <c r="B62" i="8"/>
  <c r="E62" s="1"/>
  <c r="A344" i="15"/>
  <c r="K344" s="1"/>
  <c r="A370"/>
  <c r="A381"/>
  <c r="A285"/>
  <c r="D302"/>
  <c r="A63" i="8"/>
  <c r="A355" i="15"/>
  <c r="B356"/>
  <c r="B372"/>
  <c r="B419"/>
  <c r="B436"/>
  <c r="B129"/>
  <c r="A108"/>
  <c r="B32" i="8"/>
  <c r="E32" s="1"/>
  <c r="A213" i="15"/>
  <c r="K213" s="1"/>
  <c r="A244"/>
  <c r="K244" s="1"/>
  <c r="A259"/>
  <c r="K259" s="1"/>
  <c r="A221"/>
  <c r="K221" s="1"/>
  <c r="B59" i="8"/>
  <c r="G59" s="1"/>
  <c r="A366" i="15"/>
  <c r="A190"/>
  <c r="A287"/>
  <c r="K287" s="1"/>
  <c r="A398"/>
  <c r="B366"/>
  <c r="B411"/>
  <c r="D411" s="1"/>
  <c r="B430"/>
  <c r="B125"/>
  <c r="A194"/>
  <c r="K194" s="1"/>
  <c r="A43" i="8"/>
  <c r="B27"/>
  <c r="E27" s="1"/>
  <c r="A174" i="15"/>
  <c r="K174" s="1"/>
  <c r="A231"/>
  <c r="K231" s="1"/>
  <c r="A272"/>
  <c r="K272" s="1"/>
  <c r="A318"/>
  <c r="K318" s="1"/>
  <c r="A249"/>
  <c r="A21" i="8"/>
  <c r="A214" i="15"/>
  <c r="A302"/>
  <c r="K302" s="1"/>
  <c r="A299"/>
  <c r="A134"/>
  <c r="A132"/>
  <c r="A393"/>
  <c r="B394"/>
  <c r="B382"/>
  <c r="B425"/>
  <c r="D425" s="1"/>
  <c r="B451"/>
  <c r="A44" i="8"/>
  <c r="A49"/>
  <c r="B30"/>
  <c r="E30" s="1"/>
  <c r="B36"/>
  <c r="E36" s="1"/>
  <c r="B50"/>
  <c r="E50" s="1"/>
  <c r="A90" i="15"/>
  <c r="E90" s="1"/>
  <c r="A192"/>
  <c r="K192" s="1"/>
  <c r="A207"/>
  <c r="K207" s="1"/>
  <c r="B313"/>
  <c r="M313" s="1"/>
  <c r="A328"/>
  <c r="K328" s="1"/>
  <c r="A333"/>
  <c r="K333" s="1"/>
  <c r="B58" i="8"/>
  <c r="B61"/>
  <c r="A178" i="15"/>
  <c r="A251"/>
  <c r="A167"/>
  <c r="K167" s="1"/>
  <c r="B41" i="8"/>
  <c r="B44"/>
  <c r="A369" i="15"/>
  <c r="B5" i="14"/>
  <c r="A379" i="15"/>
  <c r="A373"/>
  <c r="A284"/>
  <c r="D301"/>
  <c r="A338"/>
  <c r="K338" s="1"/>
  <c r="A111"/>
  <c r="A113"/>
  <c r="A115"/>
  <c r="A117"/>
  <c r="A32" i="8"/>
  <c r="A58"/>
  <c r="A135" i="15"/>
  <c r="A353"/>
  <c r="A361"/>
  <c r="A391"/>
  <c r="A397"/>
  <c r="B355"/>
  <c r="B363"/>
  <c r="B393"/>
  <c r="B398"/>
  <c r="B370"/>
  <c r="B375"/>
  <c r="B381"/>
  <c r="B410"/>
  <c r="B418"/>
  <c r="B449"/>
  <c r="B424"/>
  <c r="D424" s="1"/>
  <c r="B429"/>
  <c r="B434"/>
  <c r="A358"/>
  <c r="B447"/>
  <c r="D447" s="1"/>
  <c r="B124"/>
  <c r="B128"/>
  <c r="B134"/>
  <c r="A392"/>
  <c r="A387"/>
  <c r="A54" i="8"/>
  <c r="A246" i="15"/>
  <c r="K246" s="1"/>
  <c r="A258"/>
  <c r="K258" s="1"/>
  <c r="A262"/>
  <c r="A297"/>
  <c r="A313"/>
  <c r="K313" s="1"/>
  <c r="A320"/>
  <c r="K320" s="1"/>
  <c r="A223"/>
  <c r="K223" s="1"/>
  <c r="A240"/>
  <c r="K240" s="1"/>
  <c r="B57" i="8"/>
  <c r="E57" s="1"/>
  <c r="B64"/>
  <c r="A335" i="15"/>
  <c r="K335" s="1"/>
  <c r="A342"/>
  <c r="K342" s="1"/>
  <c r="A172"/>
  <c r="K172" s="1"/>
  <c r="A295"/>
  <c r="A253"/>
  <c r="A168"/>
  <c r="K168" s="1"/>
  <c r="A254"/>
  <c r="B40" i="8"/>
  <c r="A378" i="15"/>
  <c r="A372"/>
  <c r="A376"/>
  <c r="A191"/>
  <c r="A215"/>
  <c r="A261"/>
  <c r="A301"/>
  <c r="A275"/>
  <c r="A281"/>
  <c r="A286"/>
  <c r="A290"/>
  <c r="A300"/>
  <c r="K300" s="1"/>
  <c r="A106"/>
  <c r="D106" s="1"/>
  <c r="A64" i="8"/>
  <c r="A36"/>
  <c r="A35"/>
  <c r="A59"/>
  <c r="A116" i="15"/>
  <c r="A351"/>
  <c r="A360"/>
  <c r="A390"/>
  <c r="A395"/>
  <c r="B353"/>
  <c r="B361"/>
  <c r="B391"/>
  <c r="B397"/>
  <c r="B369"/>
  <c r="B374"/>
  <c r="B379"/>
  <c r="B408"/>
  <c r="D408" s="1"/>
  <c r="B416"/>
  <c r="B448"/>
  <c r="D448" s="1"/>
  <c r="B453"/>
  <c r="B428"/>
  <c r="B433"/>
  <c r="B358"/>
  <c r="B422"/>
  <c r="B123"/>
  <c r="B127"/>
  <c r="B132"/>
  <c r="B54" i="8"/>
  <c r="E54" s="1"/>
  <c r="B392" i="15"/>
  <c r="B387"/>
  <c r="A57" i="8"/>
  <c r="A47"/>
  <c r="B35"/>
  <c r="E35" s="1"/>
  <c r="B49"/>
  <c r="E49" s="1"/>
  <c r="A89" i="15"/>
  <c r="E89" s="1"/>
  <c r="A163"/>
  <c r="K163" s="1"/>
  <c r="A176"/>
  <c r="K176" s="1"/>
  <c r="A182"/>
  <c r="K182" s="1"/>
  <c r="A188"/>
  <c r="K188" s="1"/>
  <c r="A212"/>
  <c r="K212" s="1"/>
  <c r="A216"/>
  <c r="A234"/>
  <c r="K234" s="1"/>
  <c r="A55" i="8"/>
  <c r="B121" i="15"/>
  <c r="A41" i="8"/>
  <c r="I41" s="1"/>
  <c r="B29"/>
  <c r="E29" s="1"/>
  <c r="B33"/>
  <c r="E33" s="1"/>
  <c r="B47"/>
  <c r="E47" s="1"/>
  <c r="A189" i="15"/>
  <c r="K189" s="1"/>
  <c r="A202"/>
  <c r="K202" s="1"/>
  <c r="A209"/>
  <c r="K209" s="1"/>
  <c r="B272"/>
  <c r="M272" s="1"/>
  <c r="A330"/>
  <c r="K330" s="1"/>
  <c r="B38" i="8"/>
  <c r="E38" s="1"/>
  <c r="B60"/>
  <c r="G60" s="1"/>
  <c r="B63"/>
  <c r="G63" s="1"/>
  <c r="A294" i="15"/>
  <c r="A288"/>
  <c r="A169"/>
  <c r="K169" s="1"/>
  <c r="A247"/>
  <c r="B43" i="8"/>
  <c r="A367" i="15"/>
  <c r="A382"/>
  <c r="A375"/>
  <c r="A110"/>
  <c r="A112"/>
  <c r="A114"/>
  <c r="A62" i="8"/>
  <c r="A33"/>
  <c r="A60"/>
  <c r="A356" i="15"/>
  <c r="A364"/>
  <c r="A394"/>
  <c r="B351"/>
  <c r="B360"/>
  <c r="B390"/>
  <c r="B395"/>
  <c r="B367"/>
  <c r="B373"/>
  <c r="B378"/>
  <c r="B406"/>
  <c r="D406" s="1"/>
  <c r="B415"/>
  <c r="B446"/>
  <c r="B452"/>
  <c r="B427"/>
  <c r="B431"/>
  <c r="B437"/>
  <c r="B421"/>
  <c r="B119"/>
  <c r="D119" s="1"/>
  <c r="B126"/>
  <c r="B130"/>
  <c r="B445"/>
  <c r="D445" s="1"/>
  <c r="A396"/>
  <c r="B442"/>
  <c r="A30" i="8"/>
  <c r="C73" i="2"/>
  <c r="I73" s="1"/>
  <c r="C46" i="3"/>
  <c r="I46" s="1"/>
  <c r="E55" i="8"/>
  <c r="A40"/>
  <c r="I40" s="1"/>
  <c r="A95"/>
  <c r="A50"/>
  <c r="B388" i="15"/>
  <c r="D443"/>
  <c r="C25" i="11"/>
  <c r="C15"/>
  <c r="C14" i="2"/>
  <c r="C13" i="10"/>
  <c r="H12" i="1"/>
  <c r="J12" s="1"/>
  <c r="C24" i="2"/>
  <c r="I24" s="1"/>
  <c r="C40" i="3"/>
  <c r="G102" i="8"/>
  <c r="G101"/>
  <c r="C15" i="3"/>
  <c r="E43" i="11"/>
  <c r="C99"/>
  <c r="C57" i="3"/>
  <c r="E57" s="1"/>
  <c r="C60" s="1"/>
  <c r="I60" s="1"/>
  <c r="A89" i="8"/>
  <c r="E84"/>
  <c r="M15" l="1"/>
  <c r="O15" s="1"/>
  <c r="Q15" s="1"/>
  <c r="F78" i="15"/>
  <c r="G78" s="1"/>
  <c r="H78" s="1"/>
  <c r="I43" i="2"/>
  <c r="G410" i="15"/>
  <c r="I410"/>
  <c r="I355"/>
  <c r="G355"/>
  <c r="K80" i="8"/>
  <c r="I427" i="15" s="1"/>
  <c r="K43" i="8"/>
  <c r="I375" i="15" s="1"/>
  <c r="K29" i="8"/>
  <c r="I360" i="15" s="1"/>
  <c r="K83" i="8"/>
  <c r="I430" i="15" s="1"/>
  <c r="K82" i="8"/>
  <c r="I429" i="15" s="1"/>
  <c r="K59" i="8"/>
  <c r="I112" i="15" s="1"/>
  <c r="D121"/>
  <c r="D108"/>
  <c r="I83" i="8"/>
  <c r="G430" i="15" s="1"/>
  <c r="K99" i="8"/>
  <c r="I125" i="15" s="1"/>
  <c r="E81" i="8"/>
  <c r="G97"/>
  <c r="D363" i="15"/>
  <c r="D366"/>
  <c r="D351"/>
  <c r="E59" i="8"/>
  <c r="E83"/>
  <c r="I260" i="15"/>
  <c r="E260"/>
  <c r="M178"/>
  <c r="E191"/>
  <c r="I191"/>
  <c r="E215"/>
  <c r="I215"/>
  <c r="E261"/>
  <c r="I261"/>
  <c r="K214"/>
  <c r="I214"/>
  <c r="E214"/>
  <c r="I190"/>
  <c r="K190"/>
  <c r="E190"/>
  <c r="K178"/>
  <c r="E99" i="3"/>
  <c r="C102" s="1"/>
  <c r="I102" s="1"/>
  <c r="D356" i="15"/>
  <c r="D381"/>
  <c r="E103" i="8"/>
  <c r="E277" i="15"/>
  <c r="G100" i="8"/>
  <c r="I40" i="10"/>
  <c r="I57" i="2"/>
  <c r="K69" i="8"/>
  <c r="K70" s="1"/>
  <c r="K100" s="1"/>
  <c r="I126" i="15" s="1"/>
  <c r="E57" i="11"/>
  <c r="C60" s="1"/>
  <c r="I60" s="1"/>
  <c r="G104" i="8"/>
  <c r="I99" i="2"/>
  <c r="E60" i="8"/>
  <c r="C129" i="11"/>
  <c r="I129" s="1"/>
  <c r="M288" i="15"/>
  <c r="D287"/>
  <c r="D300"/>
  <c r="M303"/>
  <c r="I127" i="11"/>
  <c r="C74" i="2"/>
  <c r="I74" s="1"/>
  <c r="C101"/>
  <c r="I101" s="1"/>
  <c r="I127"/>
  <c r="C129"/>
  <c r="I129" s="1"/>
  <c r="M262" i="15"/>
  <c r="M216"/>
  <c r="D361"/>
  <c r="G42" i="8"/>
  <c r="D370" i="15"/>
  <c r="E302"/>
  <c r="D135"/>
  <c r="E21" i="8"/>
  <c r="G21"/>
  <c r="I43"/>
  <c r="I44" s="1"/>
  <c r="G376" i="15" s="1"/>
  <c r="E71" i="11"/>
  <c r="C74" s="1"/>
  <c r="I74" s="1"/>
  <c r="E71" i="3"/>
  <c r="C74" s="1"/>
  <c r="I74" s="1"/>
  <c r="C87" i="11"/>
  <c r="I87" s="1"/>
  <c r="I85"/>
  <c r="E98" i="8"/>
  <c r="G98"/>
  <c r="E99"/>
  <c r="G99"/>
  <c r="E22"/>
  <c r="I81"/>
  <c r="G428" i="15" s="1"/>
  <c r="K81" i="8"/>
  <c r="I428" i="15" s="1"/>
  <c r="G82" i="8"/>
  <c r="E82"/>
  <c r="E113" i="2"/>
  <c r="C59"/>
  <c r="I59" s="1"/>
  <c r="C115" i="11"/>
  <c r="I115" s="1"/>
  <c r="E113"/>
  <c r="C116" s="1"/>
  <c r="I116" s="1"/>
  <c r="C27"/>
  <c r="C29" s="1"/>
  <c r="E85" i="2"/>
  <c r="K247" i="15"/>
  <c r="K288"/>
  <c r="C129" i="3"/>
  <c r="I129" s="1"/>
  <c r="I127"/>
  <c r="C87"/>
  <c r="I87" s="1"/>
  <c r="E85"/>
  <c r="C88" s="1"/>
  <c r="I88" s="1"/>
  <c r="C115"/>
  <c r="I115" s="1"/>
  <c r="E113"/>
  <c r="D378" i="15"/>
  <c r="D125"/>
  <c r="D353"/>
  <c r="I59" i="8"/>
  <c r="G112" i="15" s="1"/>
  <c r="D134"/>
  <c r="K42" i="8"/>
  <c r="I374" i="15" s="1"/>
  <c r="D290"/>
  <c r="D355"/>
  <c r="G62" i="8"/>
  <c r="K40"/>
  <c r="I372" i="15" s="1"/>
  <c r="D374"/>
  <c r="D132"/>
  <c r="G372"/>
  <c r="I302"/>
  <c r="D299"/>
  <c r="K299"/>
  <c r="G125"/>
  <c r="D436"/>
  <c r="K277"/>
  <c r="D277"/>
  <c r="D129"/>
  <c r="D285"/>
  <c r="K285"/>
  <c r="D450"/>
  <c r="D112"/>
  <c r="D392"/>
  <c r="D451"/>
  <c r="D430"/>
  <c r="D419"/>
  <c r="K260"/>
  <c r="K41" i="8"/>
  <c r="I373" i="15" s="1"/>
  <c r="G57" i="8"/>
  <c r="I29"/>
  <c r="E63"/>
  <c r="D395" i="15"/>
  <c r="G374"/>
  <c r="D437"/>
  <c r="D114"/>
  <c r="D375"/>
  <c r="D421"/>
  <c r="D452"/>
  <c r="D364"/>
  <c r="D422"/>
  <c r="D453"/>
  <c r="D286"/>
  <c r="K286"/>
  <c r="K261"/>
  <c r="D372"/>
  <c r="D387"/>
  <c r="D124"/>
  <c r="G429"/>
  <c r="D429"/>
  <c r="D410"/>
  <c r="D397"/>
  <c r="D115"/>
  <c r="G41" i="8"/>
  <c r="E41"/>
  <c r="E61"/>
  <c r="G61"/>
  <c r="D390" i="15"/>
  <c r="D393"/>
  <c r="D130"/>
  <c r="G43" i="8"/>
  <c r="E43"/>
  <c r="D396" i="15"/>
  <c r="D427"/>
  <c r="G427"/>
  <c r="D394"/>
  <c r="D110"/>
  <c r="D367"/>
  <c r="D123"/>
  <c r="D428"/>
  <c r="D116"/>
  <c r="E301"/>
  <c r="K301"/>
  <c r="I301"/>
  <c r="D376"/>
  <c r="D128"/>
  <c r="D434"/>
  <c r="D418"/>
  <c r="D117"/>
  <c r="D379"/>
  <c r="G44" i="8"/>
  <c r="E44"/>
  <c r="D398" i="15"/>
  <c r="D446"/>
  <c r="D442"/>
  <c r="D126"/>
  <c r="G126"/>
  <c r="D431"/>
  <c r="G415"/>
  <c r="D415"/>
  <c r="D382"/>
  <c r="D127"/>
  <c r="D433"/>
  <c r="D416"/>
  <c r="G416"/>
  <c r="E275"/>
  <c r="K275"/>
  <c r="D275"/>
  <c r="K191"/>
  <c r="G449"/>
  <c r="D449"/>
  <c r="D111"/>
  <c r="D373"/>
  <c r="G373"/>
  <c r="D358"/>
  <c r="D369"/>
  <c r="G448"/>
  <c r="D360"/>
  <c r="K281"/>
  <c r="D281"/>
  <c r="E281"/>
  <c r="K215"/>
  <c r="G40" i="8"/>
  <c r="E40"/>
  <c r="G64"/>
  <c r="E64"/>
  <c r="D391" i="15"/>
  <c r="D113"/>
  <c r="G58" i="8"/>
  <c r="E58"/>
  <c r="D388" i="15"/>
  <c r="C127" i="10"/>
  <c r="C113"/>
  <c r="C85"/>
  <c r="C71"/>
  <c r="E71" s="1"/>
  <c r="C74" s="1"/>
  <c r="I74" s="1"/>
  <c r="E43"/>
  <c r="I43" s="1"/>
  <c r="C99"/>
  <c r="C101" s="1"/>
  <c r="I101" s="1"/>
  <c r="C57"/>
  <c r="C23"/>
  <c r="C27" s="1"/>
  <c r="C40" i="2"/>
  <c r="C25"/>
  <c r="C27" s="1"/>
  <c r="C29" s="1"/>
  <c r="K113" i="7"/>
  <c r="C15" i="10"/>
  <c r="C15" i="2"/>
  <c r="I113" i="7"/>
  <c r="C40" i="11"/>
  <c r="C48" i="3"/>
  <c r="C50" s="1"/>
  <c r="I40"/>
  <c r="K158" i="7"/>
  <c r="I43" i="11"/>
  <c r="C46"/>
  <c r="I46" s="1"/>
  <c r="I25"/>
  <c r="C30" s="1"/>
  <c r="M81" i="8"/>
  <c r="K428" i="15" s="1"/>
  <c r="C24" i="3"/>
  <c r="C27" s="1"/>
  <c r="C29" s="1"/>
  <c r="C59"/>
  <c r="I59" s="1"/>
  <c r="I57"/>
  <c r="C101" i="11"/>
  <c r="I101" s="1"/>
  <c r="E99"/>
  <c r="C102" s="1"/>
  <c r="I102" s="1"/>
  <c r="I158" i="7"/>
  <c r="F79" i="15" l="1"/>
  <c r="G79" s="1"/>
  <c r="H79" s="1"/>
  <c r="F80"/>
  <c r="M80" i="8"/>
  <c r="K427" i="15" s="1"/>
  <c r="I393"/>
  <c r="K410"/>
  <c r="K411" s="1"/>
  <c r="M355"/>
  <c r="M410"/>
  <c r="K355"/>
  <c r="K30" i="8"/>
  <c r="I361" i="15" s="1"/>
  <c r="I356"/>
  <c r="I411"/>
  <c r="K356"/>
  <c r="M40" i="8"/>
  <c r="K372" i="15" s="1"/>
  <c r="M29" i="8"/>
  <c r="M30" s="1"/>
  <c r="K361" i="15" s="1"/>
  <c r="M99" i="8"/>
  <c r="K448" i="15" s="1"/>
  <c r="M83" i="8"/>
  <c r="K430" i="15" s="1"/>
  <c r="M42" i="8"/>
  <c r="K374" i="15" s="1"/>
  <c r="M59" i="8"/>
  <c r="K112" i="15" s="1"/>
  <c r="M69" i="8"/>
  <c r="M70" s="1"/>
  <c r="K416" i="15" s="1"/>
  <c r="M82" i="8"/>
  <c r="K429" i="15" s="1"/>
  <c r="M41" i="8"/>
  <c r="K373" i="15" s="1"/>
  <c r="M43" i="8"/>
  <c r="K375" i="15" s="1"/>
  <c r="M86" i="8"/>
  <c r="M98" s="1"/>
  <c r="K124" i="15" s="1"/>
  <c r="I84" i="8"/>
  <c r="G431" i="15" s="1"/>
  <c r="I448"/>
  <c r="G375"/>
  <c r="I86" i="8"/>
  <c r="K84"/>
  <c r="K216" i="15"/>
  <c r="I46" i="8"/>
  <c r="I57" i="11"/>
  <c r="I99" i="3"/>
  <c r="C51"/>
  <c r="C52" s="1"/>
  <c r="I449" i="15"/>
  <c r="I415"/>
  <c r="C104" i="3"/>
  <c r="C106" s="1"/>
  <c r="I40" i="11"/>
  <c r="I416" i="15"/>
  <c r="C31" i="11"/>
  <c r="I40" i="2"/>
  <c r="C29" i="10"/>
  <c r="K44" i="8"/>
  <c r="I71" i="11"/>
  <c r="I71" i="3"/>
  <c r="C76"/>
  <c r="C78" s="1"/>
  <c r="G360" i="15"/>
  <c r="C132" i="3"/>
  <c r="C134" s="1"/>
  <c r="G393" i="15"/>
  <c r="I30" i="8"/>
  <c r="C116" i="2"/>
  <c r="I116" s="1"/>
  <c r="I113"/>
  <c r="I113" i="11"/>
  <c r="C88" i="2"/>
  <c r="I88" s="1"/>
  <c r="I85"/>
  <c r="C90" i="3"/>
  <c r="C92" s="1"/>
  <c r="C76" i="2"/>
  <c r="C78" s="1"/>
  <c r="C116" i="3"/>
  <c r="I113"/>
  <c r="I85"/>
  <c r="C93" s="1"/>
  <c r="K303" i="15"/>
  <c r="K262"/>
  <c r="I23" i="10"/>
  <c r="C62" i="3"/>
  <c r="C64" s="1"/>
  <c r="C129" i="10"/>
  <c r="I129" s="1"/>
  <c r="C73"/>
  <c r="I73" s="1"/>
  <c r="C59"/>
  <c r="I59" s="1"/>
  <c r="E85"/>
  <c r="C88" s="1"/>
  <c r="I88" s="1"/>
  <c r="C87"/>
  <c r="I87" s="1"/>
  <c r="C118" i="11"/>
  <c r="C120" s="1"/>
  <c r="C62"/>
  <c r="C64" s="1"/>
  <c r="C132"/>
  <c r="C134" s="1"/>
  <c r="C90"/>
  <c r="C92" s="1"/>
  <c r="C109" i="2"/>
  <c r="C53"/>
  <c r="C137"/>
  <c r="C81"/>
  <c r="C123"/>
  <c r="C32"/>
  <c r="C95"/>
  <c r="C67"/>
  <c r="C115" i="10"/>
  <c r="I115" s="1"/>
  <c r="C137"/>
  <c r="C81"/>
  <c r="C95"/>
  <c r="C32"/>
  <c r="C53"/>
  <c r="C123"/>
  <c r="C67"/>
  <c r="C109"/>
  <c r="C109" i="11"/>
  <c r="C53"/>
  <c r="C81"/>
  <c r="C67"/>
  <c r="C123"/>
  <c r="C32"/>
  <c r="C137"/>
  <c r="C95"/>
  <c r="C132" i="2"/>
  <c r="C134" s="1"/>
  <c r="C62"/>
  <c r="C64" s="1"/>
  <c r="C48"/>
  <c r="C50" s="1"/>
  <c r="C104"/>
  <c r="C106" s="1"/>
  <c r="C46" i="10"/>
  <c r="I46" s="1"/>
  <c r="I25" i="2"/>
  <c r="E127" i="10"/>
  <c r="C130" s="1"/>
  <c r="I130" s="1"/>
  <c r="C76" i="11"/>
  <c r="C78" s="1"/>
  <c r="E57" i="10"/>
  <c r="C60" s="1"/>
  <c r="I60" s="1"/>
  <c r="E113"/>
  <c r="I99" i="11"/>
  <c r="I71" i="10"/>
  <c r="E99"/>
  <c r="C102" s="1"/>
  <c r="C123" i="3"/>
  <c r="C67"/>
  <c r="C81"/>
  <c r="C109"/>
  <c r="C95"/>
  <c r="C32"/>
  <c r="C53"/>
  <c r="C137"/>
  <c r="O59" i="8"/>
  <c r="O42"/>
  <c r="M374" i="15" s="1"/>
  <c r="O40" i="8"/>
  <c r="M372" i="15" s="1"/>
  <c r="O41" i="8"/>
  <c r="M373" i="15" s="1"/>
  <c r="O69" i="8"/>
  <c r="O80"/>
  <c r="M427" i="15" s="1"/>
  <c r="O82" i="8"/>
  <c r="M429" i="15" s="1"/>
  <c r="O81" i="8"/>
  <c r="M428" i="15" s="1"/>
  <c r="O43" i="8"/>
  <c r="M375" i="15" s="1"/>
  <c r="O83" i="8"/>
  <c r="M430" i="15" s="1"/>
  <c r="O29" i="8"/>
  <c r="O99"/>
  <c r="C104" i="11"/>
  <c r="C106" s="1"/>
  <c r="C48"/>
  <c r="C50" s="1"/>
  <c r="I24" i="3"/>
  <c r="G80" i="15" l="1"/>
  <c r="M411"/>
  <c r="F81"/>
  <c r="G81" s="1"/>
  <c r="H81" s="1"/>
  <c r="O410"/>
  <c r="O411" s="1"/>
  <c r="O355"/>
  <c r="O356" s="1"/>
  <c r="K60" i="8"/>
  <c r="I113" i="15" s="1"/>
  <c r="M356"/>
  <c r="M100" i="8"/>
  <c r="K449" i="15" s="1"/>
  <c r="M44" i="8"/>
  <c r="K376" i="15" s="1"/>
  <c r="M60" i="8"/>
  <c r="K394" i="15" s="1"/>
  <c r="M84" i="8"/>
  <c r="K431" i="15" s="1"/>
  <c r="K360"/>
  <c r="K125"/>
  <c r="K393"/>
  <c r="K415"/>
  <c r="Q52" i="8"/>
  <c r="Q92"/>
  <c r="K433" i="15"/>
  <c r="M87" i="8"/>
  <c r="K434" i="15" s="1"/>
  <c r="K447"/>
  <c r="I98" i="8"/>
  <c r="I87"/>
  <c r="G433" i="15"/>
  <c r="I431"/>
  <c r="K86" i="8"/>
  <c r="O84"/>
  <c r="C121" i="11"/>
  <c r="C122" s="1"/>
  <c r="C124" s="1"/>
  <c r="I58" i="8"/>
  <c r="G392" i="15" s="1"/>
  <c r="G378"/>
  <c r="I47" i="8"/>
  <c r="I376" i="15"/>
  <c r="K46" i="8"/>
  <c r="C79" i="11"/>
  <c r="C80" s="1"/>
  <c r="C82" s="1"/>
  <c r="M46" i="8"/>
  <c r="C107" i="11"/>
  <c r="C108" s="1"/>
  <c r="C110" s="1"/>
  <c r="C65"/>
  <c r="C66" s="1"/>
  <c r="C68" s="1"/>
  <c r="C93"/>
  <c r="C94" s="1"/>
  <c r="C96" s="1"/>
  <c r="C135"/>
  <c r="C136" s="1"/>
  <c r="C138" s="1"/>
  <c r="C51"/>
  <c r="C52" s="1"/>
  <c r="C54" s="1"/>
  <c r="C135" i="3"/>
  <c r="C136" s="1"/>
  <c r="C138" s="1"/>
  <c r="C65"/>
  <c r="C66" s="1"/>
  <c r="C68" s="1"/>
  <c r="C107"/>
  <c r="C108" s="1"/>
  <c r="C110" s="1"/>
  <c r="C94"/>
  <c r="C96" s="1"/>
  <c r="C79"/>
  <c r="C80" s="1"/>
  <c r="C82" s="1"/>
  <c r="C65" i="2"/>
  <c r="C66" s="1"/>
  <c r="C68" s="1"/>
  <c r="C79"/>
  <c r="C80" s="1"/>
  <c r="C82" s="1"/>
  <c r="C33" i="11"/>
  <c r="C51" i="2"/>
  <c r="C52" s="1"/>
  <c r="C54" s="1"/>
  <c r="H80" i="15"/>
  <c r="C30" i="3"/>
  <c r="C31" s="1"/>
  <c r="C33" s="1"/>
  <c r="C30" i="2"/>
  <c r="C31" s="1"/>
  <c r="C33" s="1"/>
  <c r="O72" i="8"/>
  <c r="M418" i="15" s="1"/>
  <c r="C135" i="2"/>
  <c r="C136" s="1"/>
  <c r="C138" s="1"/>
  <c r="C107"/>
  <c r="C108" s="1"/>
  <c r="C110" s="1"/>
  <c r="C30" i="10"/>
  <c r="C31" s="1"/>
  <c r="C33" s="1"/>
  <c r="C90" i="2"/>
  <c r="C92" s="1"/>
  <c r="C118"/>
  <c r="C120" s="1"/>
  <c r="O44" i="8"/>
  <c r="G361" i="15"/>
  <c r="I60" i="8"/>
  <c r="M125" i="15"/>
  <c r="M448"/>
  <c r="O70" i="8"/>
  <c r="M415" i="15"/>
  <c r="C54" i="3"/>
  <c r="I85" i="10"/>
  <c r="C76"/>
  <c r="C78" s="1"/>
  <c r="C48"/>
  <c r="C50" s="1"/>
  <c r="I116" i="3"/>
  <c r="C118"/>
  <c r="C120" s="1"/>
  <c r="O30" i="8"/>
  <c r="M360" i="15"/>
  <c r="M112"/>
  <c r="M393"/>
  <c r="C90" i="10"/>
  <c r="C92" s="1"/>
  <c r="I113"/>
  <c r="C116"/>
  <c r="I116" s="1"/>
  <c r="I57"/>
  <c r="C104"/>
  <c r="C106" s="1"/>
  <c r="I102"/>
  <c r="C62"/>
  <c r="C64" s="1"/>
  <c r="C132"/>
  <c r="C134" s="1"/>
  <c r="I127"/>
  <c r="I99"/>
  <c r="Q82" i="8"/>
  <c r="O429" i="15" s="1"/>
  <c r="Q69" i="8"/>
  <c r="Q29"/>
  <c r="Q40"/>
  <c r="O372" i="15" s="1"/>
  <c r="Q99" i="8"/>
  <c r="Q83"/>
  <c r="O430" i="15" s="1"/>
  <c r="Q72" i="8"/>
  <c r="Q42"/>
  <c r="O374" i="15" s="1"/>
  <c r="Q43" i="8"/>
  <c r="O375" i="15" s="1"/>
  <c r="Q90" i="8"/>
  <c r="Q41"/>
  <c r="O373" i="15" s="1"/>
  <c r="Q59" i="8"/>
  <c r="Q80"/>
  <c r="O427" i="15" s="1"/>
  <c r="Q81" i="8"/>
  <c r="O428" i="15" s="1"/>
  <c r="K126" l="1"/>
  <c r="I394"/>
  <c r="K113"/>
  <c r="O437"/>
  <c r="M89" i="8"/>
  <c r="G111" i="15"/>
  <c r="G124"/>
  <c r="G447"/>
  <c r="I433"/>
  <c r="K87" i="8"/>
  <c r="K98"/>
  <c r="G434" i="15"/>
  <c r="I89" i="8"/>
  <c r="M431" i="15"/>
  <c r="O86" i="8"/>
  <c r="Q84"/>
  <c r="G379" i="15"/>
  <c r="I49" i="8"/>
  <c r="M376" i="15"/>
  <c r="O46" i="8"/>
  <c r="M47"/>
  <c r="K378" i="15"/>
  <c r="M58" i="8"/>
  <c r="K47"/>
  <c r="K58"/>
  <c r="I378" i="15"/>
  <c r="C121" i="3"/>
  <c r="C122" s="1"/>
  <c r="C124" s="1"/>
  <c r="C141" s="1"/>
  <c r="C93" i="2"/>
  <c r="C94" s="1"/>
  <c r="C96" s="1"/>
  <c r="C65" i="10"/>
  <c r="C66" s="1"/>
  <c r="C68" s="1"/>
  <c r="C121" i="2"/>
  <c r="C122" s="1"/>
  <c r="C124" s="1"/>
  <c r="C135" i="10"/>
  <c r="C136" s="1"/>
  <c r="C138" s="1"/>
  <c r="C107"/>
  <c r="C108" s="1"/>
  <c r="C110" s="1"/>
  <c r="C79"/>
  <c r="C80" s="1"/>
  <c r="C82" s="1"/>
  <c r="C93"/>
  <c r="C94" s="1"/>
  <c r="C96" s="1"/>
  <c r="O73" i="8"/>
  <c r="M419" i="15" s="1"/>
  <c r="C51" i="10"/>
  <c r="C52" s="1"/>
  <c r="C54" s="1"/>
  <c r="M416" i="15"/>
  <c r="O100" i="8"/>
  <c r="Q44"/>
  <c r="M361" i="15"/>
  <c r="O60" i="8"/>
  <c r="G113" i="15"/>
  <c r="G394"/>
  <c r="O418"/>
  <c r="O448"/>
  <c r="O125"/>
  <c r="Q70" i="8"/>
  <c r="O415" i="15"/>
  <c r="Q30" i="8"/>
  <c r="O360" i="15"/>
  <c r="O393"/>
  <c r="O112"/>
  <c r="C118" i="10"/>
  <c r="C120" s="1"/>
  <c r="C141" i="11"/>
  <c r="B164" i="7" s="1"/>
  <c r="K175" s="1"/>
  <c r="A164" l="1"/>
  <c r="I175" s="1"/>
  <c r="F176" s="1"/>
  <c r="I160"/>
  <c r="I50" i="8"/>
  <c r="G382" i="15" s="1"/>
  <c r="I90" i="8"/>
  <c r="G437" i="15" s="1"/>
  <c r="K436"/>
  <c r="M90" i="8"/>
  <c r="M433" i="15"/>
  <c r="O87" i="8"/>
  <c r="O98"/>
  <c r="I124" i="15"/>
  <c r="I447"/>
  <c r="O431"/>
  <c r="Q86" i="8"/>
  <c r="G436" i="15"/>
  <c r="I434"/>
  <c r="K89" i="8"/>
  <c r="K172" i="7"/>
  <c r="K173" s="1"/>
  <c r="M297" i="15"/>
  <c r="I111"/>
  <c r="I392"/>
  <c r="K379"/>
  <c r="M49" i="8"/>
  <c r="O376" i="15"/>
  <c r="Q46" i="8"/>
  <c r="G381" i="15"/>
  <c r="K392"/>
  <c r="K111"/>
  <c r="I379"/>
  <c r="K49" i="8"/>
  <c r="M378" i="15"/>
  <c r="O47" i="8"/>
  <c r="O58"/>
  <c r="M75"/>
  <c r="O75"/>
  <c r="K75"/>
  <c r="M290" i="15"/>
  <c r="M292" s="1"/>
  <c r="M294" s="1"/>
  <c r="M295" s="1"/>
  <c r="K184" i="7"/>
  <c r="I75" i="8"/>
  <c r="Q75"/>
  <c r="O35"/>
  <c r="Q35"/>
  <c r="O101"/>
  <c r="M127" i="15" s="1"/>
  <c r="C121" i="10"/>
  <c r="C122" s="1"/>
  <c r="C124" s="1"/>
  <c r="C141" s="1"/>
  <c r="K115" i="7" s="1"/>
  <c r="B119" s="1"/>
  <c r="O416" i="15"/>
  <c r="Q100" i="8"/>
  <c r="M126" i="15"/>
  <c r="M449"/>
  <c r="Q73" i="8"/>
  <c r="C141" i="2"/>
  <c r="I115" i="7" s="1"/>
  <c r="A119" s="1"/>
  <c r="I130" s="1"/>
  <c r="O361" i="15"/>
  <c r="Q60" i="8"/>
  <c r="M113" i="15"/>
  <c r="M394"/>
  <c r="I184" i="7" l="1"/>
  <c r="I172"/>
  <c r="I173" s="1"/>
  <c r="K35" i="8"/>
  <c r="I366" i="15" s="1"/>
  <c r="I35" i="8"/>
  <c r="I36" s="1"/>
  <c r="K290" i="15"/>
  <c r="K292" s="1"/>
  <c r="K294" s="1"/>
  <c r="K295" s="1"/>
  <c r="M35" i="8"/>
  <c r="K130" i="7"/>
  <c r="M256" i="15" s="1"/>
  <c r="M249"/>
  <c r="M251" s="1"/>
  <c r="M253" s="1"/>
  <c r="M254" s="1"/>
  <c r="I72" i="8"/>
  <c r="K127" i="7"/>
  <c r="K128" s="1"/>
  <c r="K72" i="8"/>
  <c r="K139" i="7"/>
  <c r="M72" i="8"/>
  <c r="K50"/>
  <c r="I382" i="15" s="1"/>
  <c r="I54" i="8"/>
  <c r="I55" s="1"/>
  <c r="G108" i="15" s="1"/>
  <c r="I94" i="8"/>
  <c r="I95" s="1"/>
  <c r="G121" i="15" s="1"/>
  <c r="K90" i="8"/>
  <c r="I437" i="15" s="1"/>
  <c r="K437"/>
  <c r="K297"/>
  <c r="M434"/>
  <c r="O89" i="8"/>
  <c r="I436" i="15"/>
  <c r="O433"/>
  <c r="Q87" i="8"/>
  <c r="Q98"/>
  <c r="M447" i="15"/>
  <c r="M124"/>
  <c r="K381"/>
  <c r="M50" i="8"/>
  <c r="K382" i="15" s="1"/>
  <c r="K249"/>
  <c r="K251" s="1"/>
  <c r="K253" s="1"/>
  <c r="K254" s="1"/>
  <c r="M379"/>
  <c r="O49" i="8"/>
  <c r="M392" i="15"/>
  <c r="M111"/>
  <c r="I381"/>
  <c r="O378"/>
  <c r="Q47" i="8"/>
  <c r="Q58"/>
  <c r="O421" i="15"/>
  <c r="Q76" i="8"/>
  <c r="M76"/>
  <c r="K421" i="15"/>
  <c r="M421"/>
  <c r="O76" i="8"/>
  <c r="G421" i="15"/>
  <c r="I76" i="8"/>
  <c r="I421" i="15"/>
  <c r="K76" i="8"/>
  <c r="M36"/>
  <c r="K366" i="15"/>
  <c r="K36" i="8"/>
  <c r="M366" i="15"/>
  <c r="O36" i="8"/>
  <c r="O366" i="15"/>
  <c r="Q36" i="8"/>
  <c r="M450" i="15"/>
  <c r="O449"/>
  <c r="O126"/>
  <c r="O419"/>
  <c r="Q101" i="8"/>
  <c r="I127" i="7"/>
  <c r="I128" s="1"/>
  <c r="K32" i="8"/>
  <c r="K52" s="1"/>
  <c r="I384" i="15" s="1"/>
  <c r="I139" i="7"/>
  <c r="I32" i="8"/>
  <c r="I52" s="1"/>
  <c r="G384" i="15" s="1"/>
  <c r="M32" i="8"/>
  <c r="M52" s="1"/>
  <c r="K384" i="15" s="1"/>
  <c r="O32" i="8"/>
  <c r="Q32"/>
  <c r="O394" i="15"/>
  <c r="O113"/>
  <c r="G366" l="1"/>
  <c r="I418"/>
  <c r="K73" i="8"/>
  <c r="M73"/>
  <c r="K418" i="15"/>
  <c r="M92" i="8"/>
  <c r="K439" i="15" s="1"/>
  <c r="G418"/>
  <c r="I73" i="8"/>
  <c r="I92"/>
  <c r="G439" i="15" s="1"/>
  <c r="G387"/>
  <c r="K92" i="8"/>
  <c r="I439" i="15" s="1"/>
  <c r="O50" i="8"/>
  <c r="M382" i="15" s="1"/>
  <c r="O52" i="8"/>
  <c r="M384" i="15" s="1"/>
  <c r="K54" i="8"/>
  <c r="K55" s="1"/>
  <c r="I108" i="15" s="1"/>
  <c r="I57" i="8"/>
  <c r="G391" i="15" s="1"/>
  <c r="K94" i="8"/>
  <c r="K95" s="1"/>
  <c r="I121" i="15" s="1"/>
  <c r="G442"/>
  <c r="I97" i="8"/>
  <c r="G446" i="15" s="1"/>
  <c r="O90" i="8"/>
  <c r="M437" i="15" s="1"/>
  <c r="O92" i="8"/>
  <c r="M439" i="15" s="1"/>
  <c r="K256"/>
  <c r="F131" i="7"/>
  <c r="O434" i="15"/>
  <c r="Q89" i="8"/>
  <c r="M436" i="15"/>
  <c r="O447"/>
  <c r="O124"/>
  <c r="G443"/>
  <c r="O379"/>
  <c r="Q49" i="8"/>
  <c r="M381" i="15"/>
  <c r="O392"/>
  <c r="O111"/>
  <c r="G388"/>
  <c r="I422"/>
  <c r="K102" i="8"/>
  <c r="M422" i="15"/>
  <c r="O102" i="8"/>
  <c r="O422" i="15"/>
  <c r="Q102" i="8"/>
  <c r="M102"/>
  <c r="K422" i="15"/>
  <c r="I102" i="8"/>
  <c r="G422" i="15"/>
  <c r="M62" i="8"/>
  <c r="K367" i="15"/>
  <c r="G367"/>
  <c r="I62" i="8"/>
  <c r="I367" i="15"/>
  <c r="K62" i="8"/>
  <c r="O62"/>
  <c r="M367" i="15"/>
  <c r="Q62" i="8"/>
  <c r="O367" i="15"/>
  <c r="O450"/>
  <c r="O127"/>
  <c r="I363"/>
  <c r="K33" i="8"/>
  <c r="M33"/>
  <c r="K363" i="15"/>
  <c r="M363"/>
  <c r="O33" i="8"/>
  <c r="O363" i="15"/>
  <c r="Q33" i="8"/>
  <c r="G363" i="15"/>
  <c r="I33" i="8"/>
  <c r="K101" l="1"/>
  <c r="I419" i="15"/>
  <c r="G419"/>
  <c r="I101" i="8"/>
  <c r="K419" i="15"/>
  <c r="M101" i="8"/>
  <c r="M54"/>
  <c r="M55" s="1"/>
  <c r="K108" i="15" s="1"/>
  <c r="Q50" i="8"/>
  <c r="O382" i="15" s="1"/>
  <c r="O385"/>
  <c r="O384"/>
  <c r="O439"/>
  <c r="O440"/>
  <c r="M94" i="8"/>
  <c r="M95" s="1"/>
  <c r="K121" i="15" s="1"/>
  <c r="G110"/>
  <c r="K57" i="8"/>
  <c r="I391" i="15" s="1"/>
  <c r="I387"/>
  <c r="I442"/>
  <c r="K97" i="8"/>
  <c r="I123" i="15" s="1"/>
  <c r="G123"/>
  <c r="I443"/>
  <c r="O436"/>
  <c r="O94" i="8"/>
  <c r="O95" s="1"/>
  <c r="M121" i="15" s="1"/>
  <c r="K387"/>
  <c r="O381"/>
  <c r="I388"/>
  <c r="O54" i="8"/>
  <c r="O55" s="1"/>
  <c r="M108" i="15" s="1"/>
  <c r="G128"/>
  <c r="G451"/>
  <c r="I103" i="8"/>
  <c r="O451" i="15"/>
  <c r="O128"/>
  <c r="I128"/>
  <c r="I451"/>
  <c r="K451"/>
  <c r="K128"/>
  <c r="M128"/>
  <c r="M451"/>
  <c r="O396"/>
  <c r="O115"/>
  <c r="K396"/>
  <c r="K115"/>
  <c r="I115"/>
  <c r="I396"/>
  <c r="M396"/>
  <c r="M115"/>
  <c r="G396"/>
  <c r="G115"/>
  <c r="I61" i="8"/>
  <c r="G364" i="15"/>
  <c r="O61" i="8"/>
  <c r="M364" i="15"/>
  <c r="I364"/>
  <c r="K61" i="8"/>
  <c r="K364" i="15"/>
  <c r="M61" i="8"/>
  <c r="Q61"/>
  <c r="O364" i="15"/>
  <c r="M57" i="8" l="1"/>
  <c r="M63" s="1"/>
  <c r="K442" i="15"/>
  <c r="M97" i="8"/>
  <c r="K123" i="15" s="1"/>
  <c r="I127"/>
  <c r="I450"/>
  <c r="K127"/>
  <c r="K450"/>
  <c r="G127"/>
  <c r="G450"/>
  <c r="I110"/>
  <c r="K103" i="8"/>
  <c r="I129" i="15" s="1"/>
  <c r="I446"/>
  <c r="Q94" i="8"/>
  <c r="Q95" s="1"/>
  <c r="O121" i="15" s="1"/>
  <c r="Q54" i="8"/>
  <c r="Q55" s="1"/>
  <c r="O108" i="15" s="1"/>
  <c r="Q97" i="8"/>
  <c r="K443" i="15"/>
  <c r="O97" i="8"/>
  <c r="M442" i="15"/>
  <c r="Q57" i="8"/>
  <c r="K388" i="15"/>
  <c r="K110"/>
  <c r="O57" i="8"/>
  <c r="O63" s="1"/>
  <c r="M387" i="15"/>
  <c r="G129"/>
  <c r="I104" i="8"/>
  <c r="G452" i="15"/>
  <c r="O114"/>
  <c r="O395"/>
  <c r="G114"/>
  <c r="G395"/>
  <c r="I63" i="8"/>
  <c r="I395" i="15"/>
  <c r="I114"/>
  <c r="K63" i="8"/>
  <c r="M114" i="15"/>
  <c r="M395"/>
  <c r="K395"/>
  <c r="K114"/>
  <c r="K391" l="1"/>
  <c r="K446"/>
  <c r="M103" i="8"/>
  <c r="I452" i="15"/>
  <c r="K104" i="8"/>
  <c r="I130" i="15" s="1"/>
  <c r="O442"/>
  <c r="O387"/>
  <c r="M123"/>
  <c r="M446"/>
  <c r="O103" i="8"/>
  <c r="O443" i="15"/>
  <c r="O123"/>
  <c r="O446"/>
  <c r="Q103" i="8"/>
  <c r="M443" i="15"/>
  <c r="O391"/>
  <c r="O110"/>
  <c r="M388"/>
  <c r="O388"/>
  <c r="M391"/>
  <c r="M110"/>
  <c r="Q63" i="8"/>
  <c r="O397" i="15" s="1"/>
  <c r="G453"/>
  <c r="I22" i="8"/>
  <c r="G130" i="15"/>
  <c r="I64" i="8"/>
  <c r="K64"/>
  <c r="M64"/>
  <c r="G116" i="15"/>
  <c r="G397"/>
  <c r="O64" i="8"/>
  <c r="K116" i="15"/>
  <c r="K397"/>
  <c r="M397"/>
  <c r="M116"/>
  <c r="I397"/>
  <c r="I116"/>
  <c r="K129" l="1"/>
  <c r="K452"/>
  <c r="M104" i="8"/>
  <c r="I453" i="15"/>
  <c r="K22" i="8"/>
  <c r="M129" i="15"/>
  <c r="M452"/>
  <c r="O104" i="8"/>
  <c r="Q104"/>
  <c r="O129" i="15"/>
  <c r="O452"/>
  <c r="Q64" i="8"/>
  <c r="O116" i="15"/>
  <c r="G117"/>
  <c r="I21" i="8"/>
  <c r="G398" i="15"/>
  <c r="O21" i="8"/>
  <c r="M117" i="15"/>
  <c r="M398"/>
  <c r="I117"/>
  <c r="K21" i="8"/>
  <c r="I398" i="15"/>
  <c r="K398"/>
  <c r="K117"/>
  <c r="M21" i="8"/>
  <c r="K130" i="15" l="1"/>
  <c r="M22" i="8"/>
  <c r="K453" i="15"/>
  <c r="O398"/>
  <c r="M453"/>
  <c r="M130"/>
  <c r="O22" i="8"/>
  <c r="O453" i="15"/>
  <c r="Q22" i="8"/>
  <c r="O130" i="15"/>
  <c r="Q21" i="8"/>
  <c r="O117" i="15"/>
  <c r="O24" i="8" l="1"/>
  <c r="G134" i="15"/>
  <c r="I24" i="8"/>
  <c r="M24"/>
  <c r="K24"/>
  <c r="Q24"/>
  <c r="G135" i="15"/>
  <c r="O134"/>
  <c r="I134"/>
  <c r="K135"/>
  <c r="M134"/>
  <c r="K134"/>
  <c r="M135"/>
  <c r="I135"/>
  <c r="O135"/>
</calcChain>
</file>

<file path=xl/sharedStrings.xml><?xml version="1.0" encoding="utf-8"?>
<sst xmlns="http://schemas.openxmlformats.org/spreadsheetml/2006/main" count="1121" uniqueCount="377">
  <si>
    <t>Study done by</t>
  </si>
  <si>
    <t>Customer name</t>
  </si>
  <si>
    <t>Project description</t>
  </si>
  <si>
    <t>- Length</t>
  </si>
  <si>
    <t>- Width</t>
  </si>
  <si>
    <t>- Height</t>
  </si>
  <si>
    <t>- Volume</t>
  </si>
  <si>
    <t>Number in height</t>
  </si>
  <si>
    <t>Number of boxes</t>
  </si>
  <si>
    <t>m3</t>
  </si>
  <si>
    <t>2-way handling</t>
  </si>
  <si>
    <t>Transport volume</t>
  </si>
  <si>
    <t>Deviation</t>
  </si>
  <si>
    <t>4-way handling</t>
  </si>
  <si>
    <t>W</t>
  </si>
  <si>
    <t>L</t>
  </si>
  <si>
    <t>Number at 1. row in length dimension</t>
  </si>
  <si>
    <t>Number of rows in length dimension</t>
  </si>
  <si>
    <t>1 length rest width per row</t>
  </si>
  <si>
    <t>Length section number of rows</t>
  </si>
  <si>
    <t>Width section number of rows</t>
  </si>
  <si>
    <t>Packing tolerance on all box dimensions</t>
  </si>
  <si>
    <t>Left space at side excl. tolerance</t>
  </si>
  <si>
    <t>Left space at end excl. tolerance</t>
  </si>
  <si>
    <t>Left space at height excl. tolerance</t>
  </si>
  <si>
    <t>Left volumen excl. tolerance</t>
  </si>
  <si>
    <t>Volumen of boxes excl. tolerance</t>
  </si>
  <si>
    <t>0 length rest width per row</t>
  </si>
  <si>
    <t>2 length rest width per row</t>
  </si>
  <si>
    <t>3 length rest width per row</t>
  </si>
  <si>
    <t>4 length rest width per row</t>
  </si>
  <si>
    <t>5 length rest width per row</t>
  </si>
  <si>
    <t>Max boxes</t>
  </si>
  <si>
    <t>%</t>
  </si>
  <si>
    <t>Return transport to sender</t>
  </si>
  <si>
    <t>days</t>
  </si>
  <si>
    <t>Transport to receiver</t>
  </si>
  <si>
    <t>Assembly time per box</t>
  </si>
  <si>
    <t>min</t>
  </si>
  <si>
    <t>Assembly costs per box</t>
  </si>
  <si>
    <t>Total assembly cost per box</t>
  </si>
  <si>
    <t>Transport type</t>
  </si>
  <si>
    <t>Total transport costs per transport</t>
  </si>
  <si>
    <t>Total transport costs per box</t>
  </si>
  <si>
    <t>Regarding 4-way boxes and use of container</t>
  </si>
  <si>
    <t>Regarding 2-way boxes and use of container</t>
  </si>
  <si>
    <t>Dimensions</t>
  </si>
  <si>
    <t>Year 1</t>
  </si>
  <si>
    <t>Year 2</t>
  </si>
  <si>
    <t>Year 3</t>
  </si>
  <si>
    <t>Year 4</t>
  </si>
  <si>
    <t>Year 5</t>
  </si>
  <si>
    <t>Growth per year</t>
  </si>
  <si>
    <t>Clip-Lok company</t>
  </si>
  <si>
    <t>- Zip</t>
  </si>
  <si>
    <t>- Country</t>
  </si>
  <si>
    <t>- Telephone</t>
  </si>
  <si>
    <t>- Fax</t>
  </si>
  <si>
    <t>- Address 2</t>
  </si>
  <si>
    <t>- Address 1</t>
  </si>
  <si>
    <t>- Postal town</t>
  </si>
  <si>
    <t>Study version</t>
  </si>
  <si>
    <t>Study date</t>
  </si>
  <si>
    <t>Days per year</t>
  </si>
  <si>
    <t>Feasibility Study</t>
  </si>
  <si>
    <t>Version</t>
  </si>
  <si>
    <t>Setup</t>
  </si>
  <si>
    <t>(contact person)</t>
  </si>
  <si>
    <t>Project:</t>
  </si>
  <si>
    <t>Customer:</t>
  </si>
  <si>
    <t>Study version:</t>
  </si>
  <si>
    <t>Study date:</t>
  </si>
  <si>
    <t>Solution 2: Sending</t>
  </si>
  <si>
    <t>Solution 1: Sending</t>
  </si>
  <si>
    <t>Solution 1: Returning</t>
  </si>
  <si>
    <t>Solution 2: Returning</t>
  </si>
  <si>
    <t>used by program to calculate number of</t>
  </si>
  <si>
    <t>Feasibility Study - Calculation</t>
  </si>
  <si>
    <t>Notes and calculations</t>
  </si>
  <si>
    <t>Stat.txt</t>
  </si>
  <si>
    <t>- Collapsed height</t>
  </si>
  <si>
    <t>Weight per item</t>
  </si>
  <si>
    <t>Not current</t>
  </si>
  <si>
    <t>Regarding use of trailer and flatbed</t>
  </si>
  <si>
    <t>6 length rest width per row</t>
  </si>
  <si>
    <t>Transport dimension</t>
  </si>
  <si>
    <t>Globals</t>
  </si>
  <si>
    <t>This Microsoft Excel Workbook is developed and owned by Clip-Lok International Ltd.</t>
  </si>
  <si>
    <t>Any unauthorized use of this Microsoft Excel Workbook will be treated as an illigal</t>
  </si>
  <si>
    <t>action against Clip-Lok International Ltd.</t>
  </si>
  <si>
    <t>This Microsoft Excel Workbook may only be used by authorization from Clip-Lok</t>
  </si>
  <si>
    <t>International Ltd.</t>
  </si>
  <si>
    <t>Stat.value</t>
  </si>
  <si>
    <t>Total box cost per box</t>
  </si>
  <si>
    <t>Total maintenance cost per box per return trip</t>
  </si>
  <si>
    <t>Maintenance per return trip of total box cost</t>
  </si>
  <si>
    <t>Total transport cost per collapsed box</t>
  </si>
  <si>
    <t>Metal strapping / wrapping per box</t>
  </si>
  <si>
    <t>Transport damage on items</t>
  </si>
  <si>
    <t>Cost price per item</t>
  </si>
  <si>
    <t>Total engaged time per batch</t>
  </si>
  <si>
    <t>Damage cost as percentage of sent items</t>
  </si>
  <si>
    <t>S1</t>
  </si>
  <si>
    <t>S2</t>
  </si>
  <si>
    <t>Study currency (3-letter code)</t>
  </si>
  <si>
    <t>Material thickness</t>
  </si>
  <si>
    <t>Base height</t>
  </si>
  <si>
    <t>Collapsed height</t>
  </si>
  <si>
    <t>Box handling</t>
  </si>
  <si>
    <t>Number of items in box</t>
  </si>
  <si>
    <t>Sending transport specifications</t>
  </si>
  <si>
    <t>Transport method</t>
  </si>
  <si>
    <t>Number of boxes per full transport</t>
  </si>
  <si>
    <t>Cost per transport</t>
  </si>
  <si>
    <t>Other</t>
  </si>
  <si>
    <t>Total cost per transport</t>
  </si>
  <si>
    <t>Box specifications</t>
  </si>
  <si>
    <t>Handling time at sender</t>
  </si>
  <si>
    <t>Handling time at receiver</t>
  </si>
  <si>
    <t>Study made by</t>
  </si>
  <si>
    <t>have misunderstood information given to us, not having received sufficient information or having overseen</t>
  </si>
  <si>
    <t>failures in calculations, we can not be responsible for any decisions based on this Feasibility Study.</t>
  </si>
  <si>
    <t>Maintenance of boxes</t>
  </si>
  <si>
    <t>Maintenance cost per box per return trip</t>
  </si>
  <si>
    <t>regarding transport system for</t>
  </si>
  <si>
    <t>Type of study</t>
  </si>
  <si>
    <t>Box type in study</t>
  </si>
  <si>
    <t>Description of study</t>
  </si>
  <si>
    <t>Study 1</t>
  </si>
  <si>
    <t>Study 2</t>
  </si>
  <si>
    <t>Study 1:</t>
  </si>
  <si>
    <t>Study 2:</t>
  </si>
  <si>
    <t>External dimensions:</t>
  </si>
  <si>
    <t>Length</t>
  </si>
  <si>
    <t>Width</t>
  </si>
  <si>
    <t>Height</t>
  </si>
  <si>
    <t>Volume</t>
  </si>
  <si>
    <t>Left over space per transport</t>
  </si>
  <si>
    <t>Collapsed volume</t>
  </si>
  <si>
    <t>Total cost per box</t>
  </si>
  <si>
    <t>Transport expectations</t>
  </si>
  <si>
    <t>Items to be transported</t>
  </si>
  <si>
    <t>Description of item</t>
  </si>
  <si>
    <t>Matter of responsibility</t>
  </si>
  <si>
    <t>Study contents</t>
  </si>
  <si>
    <t>Transport volume in items:</t>
  </si>
  <si>
    <t>Item description:</t>
  </si>
  <si>
    <t>All information in this Feasibly Study are to our best knowledge correct, but due to the possibility that we</t>
  </si>
  <si>
    <t>Additional costs not specified per transport</t>
  </si>
  <si>
    <t>Additional assembly costs not specified per box</t>
  </si>
  <si>
    <t>Additional costs not specified per box</t>
  </si>
  <si>
    <t>Calculations</t>
  </si>
  <si>
    <t>Calculations regarding use of reusable boxes are based on average assumptions. Due to this assumption</t>
  </si>
  <si>
    <t>Assembly and damage specifications</t>
  </si>
  <si>
    <t>Damage of items</t>
  </si>
  <si>
    <t>Assembly of boxes</t>
  </si>
  <si>
    <t>Number of items shipped</t>
  </si>
  <si>
    <t>Number of items shipped used i calculation</t>
  </si>
  <si>
    <t>the calculations will not match real-life situations.</t>
  </si>
  <si>
    <t>Box price from manufacturer</t>
  </si>
  <si>
    <t>Total volume by boxes</t>
  </si>
  <si>
    <t>External dimensions in mm</t>
  </si>
  <si>
    <t>Internal dimensions in mm</t>
  </si>
  <si>
    <t>28' High Cube Trailer</t>
  </si>
  <si>
    <t>45' Wedge Trailer</t>
  </si>
  <si>
    <t>10' Container</t>
  </si>
  <si>
    <t>20' Container</t>
  </si>
  <si>
    <t>20' High Cube Container</t>
  </si>
  <si>
    <t>40' Container</t>
  </si>
  <si>
    <t>-</t>
  </si>
  <si>
    <t>Calc. vol.</t>
  </si>
  <si>
    <t>Control vol.</t>
  </si>
  <si>
    <t>Loading ways</t>
  </si>
  <si>
    <t>values lager than 0 days</t>
  </si>
  <si>
    <t>All engaged time elements have to be filled out with</t>
  </si>
  <si>
    <t>Batch method at sender</t>
  </si>
  <si>
    <t>Val. S1</t>
  </si>
  <si>
    <t>Val. S2</t>
  </si>
  <si>
    <t>Blank</t>
  </si>
  <si>
    <t>Transport sending</t>
  </si>
  <si>
    <t>Page_length</t>
  </si>
  <si>
    <t>13.6 meter Trailer</t>
  </si>
  <si>
    <t>48' Wedge Trailer</t>
  </si>
  <si>
    <t/>
  </si>
  <si>
    <t>Calculated number of boxes per full transport</t>
  </si>
  <si>
    <t>Weight per transport with filled boxes</t>
  </si>
  <si>
    <t>Transport method sending</t>
  </si>
  <si>
    <t>Type of transport used for sending</t>
  </si>
  <si>
    <t>Loading way at sending</t>
  </si>
  <si>
    <t>(Calculation max 6 boxes per row in length dim.)</t>
  </si>
  <si>
    <t>(Correction necessary if pallets are used)</t>
  </si>
  <si>
    <t>Weight of  box incl. dunnage</t>
  </si>
  <si>
    <t>Feasibility Study - Data collection</t>
  </si>
  <si>
    <t>Transport method returning</t>
  </si>
  <si>
    <t>Type of transport used for returning</t>
  </si>
  <si>
    <t>Loading way at returning</t>
  </si>
  <si>
    <t>Transport sending internal dimensions:</t>
  </si>
  <si>
    <t>Corrected transport sending internal dimensions:</t>
  </si>
  <si>
    <t>Total transport cost per transport returning</t>
  </si>
  <si>
    <t>Transport returning</t>
  </si>
  <si>
    <t>Transport returning internal dimensions:</t>
  </si>
  <si>
    <t>Corrected transport returning internal dimensions:</t>
  </si>
  <si>
    <t>Material thickness (not used in calculation)</t>
  </si>
  <si>
    <t>Base height of box (not used in calculation)</t>
  </si>
  <si>
    <t>Conclusion</t>
  </si>
  <si>
    <t>Cost total accumulated</t>
  </si>
  <si>
    <t>Box cost</t>
  </si>
  <si>
    <t>Assembly costs</t>
  </si>
  <si>
    <t>Transport sending costs</t>
  </si>
  <si>
    <t>Transport returning costs</t>
  </si>
  <si>
    <t>1.10</t>
  </si>
  <si>
    <t>2.10</t>
  </si>
  <si>
    <t>3.</t>
  </si>
  <si>
    <t>4.</t>
  </si>
  <si>
    <t>2.</t>
  </si>
  <si>
    <t>5.</t>
  </si>
  <si>
    <t>6.10</t>
  </si>
  <si>
    <t>7.</t>
  </si>
  <si>
    <t>7.10</t>
  </si>
  <si>
    <t>8.</t>
  </si>
  <si>
    <t>items</t>
  </si>
  <si>
    <t>1.</t>
  </si>
  <si>
    <t>General information</t>
  </si>
  <si>
    <t>6.</t>
  </si>
  <si>
    <t>40' High Cube Container</t>
  </si>
  <si>
    <t>boxes in transport system. Tolerance added only</t>
  </si>
  <si>
    <t>Savings</t>
  </si>
  <si>
    <t>1.5-6</t>
  </si>
  <si>
    <t>size measured in number of items</t>
  </si>
  <si>
    <t>Engaged time schedule based on batch</t>
  </si>
  <si>
    <t>Engaged time per batch and batch method</t>
  </si>
  <si>
    <t>External dimensions of box:</t>
  </si>
  <si>
    <t>Internal dimensions of transport:</t>
  </si>
  <si>
    <t>Page 2 of 10</t>
  </si>
  <si>
    <t>Page 3 of 10</t>
  </si>
  <si>
    <t>Page 4 of 10</t>
  </si>
  <si>
    <t>Page 5 of 10</t>
  </si>
  <si>
    <t>Page 6 of 10</t>
  </si>
  <si>
    <t>Page 7 of 10</t>
  </si>
  <si>
    <t>Page 8 of 10</t>
  </si>
  <si>
    <t>Specifications special for reusable boxes</t>
  </si>
  <si>
    <t>Page 9 of 10</t>
  </si>
  <si>
    <t>Page 10 of 10</t>
  </si>
  <si>
    <t>Cost per box</t>
  </si>
  <si>
    <t>Weight incl. dunnage</t>
  </si>
  <si>
    <t>Lease cost per return trip</t>
  </si>
  <si>
    <t>Clip-Lok SimPak (Scandinavia) ApS</t>
  </si>
  <si>
    <t>Address 1</t>
  </si>
  <si>
    <t>Address 2</t>
  </si>
  <si>
    <t>Zip</t>
  </si>
  <si>
    <t>Postal town</t>
  </si>
  <si>
    <t>Country</t>
  </si>
  <si>
    <t>Telephone</t>
  </si>
  <si>
    <t>Fax</t>
  </si>
  <si>
    <t>Clip-Lok International Ltd.</t>
  </si>
  <si>
    <t>Solvang 25</t>
  </si>
  <si>
    <t>Alleroed</t>
  </si>
  <si>
    <t>Denmark</t>
  </si>
  <si>
    <t>+45 48 14 37 78</t>
  </si>
  <si>
    <t>Sweden</t>
  </si>
  <si>
    <t>Clip-Lok SimPak (Scandinavia) ApS, Sweden</t>
  </si>
  <si>
    <t>Brogatan 23</t>
  </si>
  <si>
    <t>30 243</t>
  </si>
  <si>
    <t>Halmstad</t>
  </si>
  <si>
    <t>+46 70 23 15 600</t>
  </si>
  <si>
    <t>+46 70 23 18 183</t>
  </si>
  <si>
    <t>+45 48 14 34 83</t>
  </si>
  <si>
    <t>EUR</t>
  </si>
  <si>
    <t>Notype</t>
  </si>
  <si>
    <t>Maintenance cost for reusable boxes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</si>
  <si>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</si>
  <si>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</si>
  <si>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</si>
  <si>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</si>
  <si>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</si>
  <si>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</si>
  <si>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</si>
  <si>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</si>
  <si>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</si>
  <si>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</si>
  <si>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</si>
  <si>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</si>
  <si>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</si>
  <si>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</si>
  <si>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</si>
  <si>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</si>
  <si>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</si>
  <si>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</si>
  <si>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</si>
  <si>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</si>
  <si>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</si>
  <si>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</si>
  <si>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</si>
  <si>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</si>
  <si>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</si>
  <si>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</si>
  <si>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</si>
  <si>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</si>
  <si>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</si>
  <si>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</si>
  <si>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</si>
  <si>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</si>
  <si>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</si>
  <si>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</si>
  <si>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</si>
  <si>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</si>
  <si>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</si>
  <si>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</si>
  <si>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</si>
  <si>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</si>
  <si>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</si>
  <si>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</si>
  <si>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</si>
  <si>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</si>
  <si>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</si>
  <si>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</si>
  <si>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</si>
  <si>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</si>
  <si>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</si>
  <si>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</si>
  <si>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</si>
  <si>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</si>
  <si>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</si>
  <si>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8.1</t>
  </si>
  <si>
    <t>8.2</t>
  </si>
  <si>
    <t>8.3</t>
  </si>
  <si>
    <t>8.4</t>
  </si>
  <si>
    <t>8.5</t>
  </si>
  <si>
    <t>8.6</t>
  </si>
  <si>
    <t>Return transport specifications for reusable boxes</t>
  </si>
  <si>
    <t>Metric system</t>
  </si>
  <si>
    <t>Measure system</t>
  </si>
  <si>
    <t>Box use for reusable boxes</t>
  </si>
  <si>
    <t>Handling method at sender</t>
  </si>
  <si>
    <t>Choose handling method at sender</t>
  </si>
  <si>
    <t>Engaged time schedule and size per batch</t>
  </si>
  <si>
    <t>number</t>
  </si>
  <si>
    <t>The number is calculated as number of days per</t>
  </si>
  <si>
    <t>year divided with total engaged time. The number</t>
  </si>
  <si>
    <t>periods per year.</t>
  </si>
  <si>
    <t>Awaiting method results in the specified batch</t>
  </si>
  <si>
    <t>per year divided with handling time at sender. This</t>
  </si>
  <si>
    <t>batch size has been optional entered.</t>
  </si>
  <si>
    <t>Optional fixed batch size per engaged time</t>
  </si>
  <si>
    <t>schedule. If specified handling time at sender and</t>
  </si>
  <si>
    <t>receiver will be adjusted in the calculations.</t>
  </si>
  <si>
    <t>will be corrected in the calculations if fixed batch</t>
  </si>
  <si>
    <t>size has been optional entered.</t>
  </si>
  <si>
    <t>number will be corrected in the calculations if fixed</t>
  </si>
  <si>
    <t>Awaiting method means that every handling period</t>
  </si>
  <si>
    <t>Continuously method means that every handling</t>
  </si>
  <si>
    <t>new handling period at sender.</t>
  </si>
  <si>
    <t>period at sender will be followed immediately by a</t>
  </si>
  <si>
    <t>at sender will await the receive of return transport</t>
  </si>
  <si>
    <t>before a new handling period begins.</t>
  </si>
  <si>
    <t>Summary of calculations</t>
  </si>
  <si>
    <t>Continuously</t>
  </si>
  <si>
    <t>(default Continuously)</t>
  </si>
  <si>
    <t>Left over space per transport excl. tolerance</t>
  </si>
  <si>
    <t>Continuously method results in specified batch</t>
  </si>
  <si>
    <t>Labor cost per hour</t>
  </si>
  <si>
    <t>Assembly labor costs per box</t>
  </si>
  <si>
    <t>Correction under paragraph 6.7 is in most cases</t>
  </si>
  <si>
    <t>necessary to get a correct calculation of transport</t>
  </si>
  <si>
    <t>costs. Use number from sheet "Calculation" after all</t>
  </si>
  <si>
    <t>number.</t>
  </si>
  <si>
    <t>data as been entered as an indicator of a correct</t>
  </si>
  <si>
    <t>periods per year (default method).</t>
  </si>
  <si>
    <t>Corrected number of boxes per send transport</t>
  </si>
  <si>
    <t>Corrected number of boxes per returned transport</t>
  </si>
  <si>
    <t>Cost per transport returning with above amount</t>
  </si>
  <si>
    <t>Cost per transport sending with above amount</t>
  </si>
  <si>
    <t>Correction under paragraph 7.7 is in most cases</t>
  </si>
  <si>
    <t>Not active</t>
  </si>
  <si>
    <t>Weight per transport</t>
  </si>
  <si>
    <t>(may depend on batch size)</t>
  </si>
  <si>
    <t>Lease cost per box per return trip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</si>
</sst>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[$-809]dd\ mmmm\ yyyy;@"/>
    <numFmt numFmtId="166" formatCode="[$-809]d\ mmmm\ yyyy;@"/>
    <numFmt numFmtId="167" formatCode="&quot;Study date&quot;\ [$-406]d\.\ mmmm\ yyyy;@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3" fillId="0" borderId="0" xfId="0" quotePrefix="1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2" borderId="0" xfId="0" applyFill="1" applyAlignment="1" applyProtection="1">
      <alignment horizontal="left"/>
      <protection locked="0"/>
    </xf>
    <xf numFmtId="0" fontId="6" fillId="0" borderId="0" xfId="0" applyFont="1"/>
    <xf numFmtId="3" fontId="0" fillId="2" borderId="0" xfId="0" applyNumberFormat="1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4" fontId="0" fillId="0" borderId="0" xfId="0" applyNumberFormat="1"/>
    <xf numFmtId="4" fontId="0" fillId="2" borderId="0" xfId="0" applyNumberFormat="1" applyFill="1" applyBorder="1" applyAlignment="1" applyProtection="1">
      <alignment vertical="center"/>
      <protection locked="0"/>
    </xf>
    <xf numFmtId="10" fontId="0" fillId="2" borderId="0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3" fontId="0" fillId="2" borderId="0" xfId="0" applyNumberFormat="1" applyFill="1" applyBorder="1" applyAlignment="1" applyProtection="1">
      <alignment horizontal="left" vertical="center"/>
      <protection locked="0"/>
    </xf>
    <xf numFmtId="4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5" xfId="0" applyBorder="1"/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6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4" fontId="0" fillId="0" borderId="5" xfId="0" applyNumberFormat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4" fontId="0" fillId="0" borderId="0" xfId="0" applyNumberFormat="1" applyBorder="1" applyAlignment="1" applyProtection="1">
      <alignment horizontal="right" vertical="center"/>
      <protection hidden="1"/>
    </xf>
    <xf numFmtId="4" fontId="0" fillId="0" borderId="0" xfId="0" applyNumberFormat="1" applyProtection="1">
      <protection hidden="1"/>
    </xf>
    <xf numFmtId="0" fontId="0" fillId="0" borderId="14" xfId="0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quotePrefix="1" applyBorder="1" applyAlignment="1" applyProtection="1">
      <alignment vertical="center"/>
      <protection hidden="1"/>
    </xf>
    <xf numFmtId="3" fontId="0" fillId="0" borderId="5" xfId="0" applyNumberFormat="1" applyBorder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164" fontId="0" fillId="0" borderId="0" xfId="0" applyNumberFormat="1" applyBorder="1" applyAlignment="1" applyProtection="1">
      <alignment horizontal="right" vertical="center"/>
      <protection hidden="1"/>
    </xf>
    <xf numFmtId="164" fontId="0" fillId="0" borderId="16" xfId="0" applyNumberFormat="1" applyBorder="1" applyAlignment="1" applyProtection="1">
      <alignment vertical="center"/>
      <protection hidden="1"/>
    </xf>
    <xf numFmtId="0" fontId="0" fillId="0" borderId="0" xfId="0" quotePrefix="1" applyProtection="1">
      <protection hidden="1"/>
    </xf>
    <xf numFmtId="165" fontId="0" fillId="0" borderId="0" xfId="0" applyNumberFormat="1" applyBorder="1" applyAlignment="1" applyProtection="1">
      <alignment horizontal="left" vertical="center"/>
      <protection hidden="1"/>
    </xf>
    <xf numFmtId="0" fontId="6" fillId="0" borderId="0" xfId="0" applyFont="1" applyBorder="1" applyProtection="1">
      <protection hidden="1"/>
    </xf>
    <xf numFmtId="9" fontId="0" fillId="0" borderId="0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0" fillId="0" borderId="0" xfId="0" applyNumberFormat="1" applyBorder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3" fontId="0" fillId="0" borderId="5" xfId="0" applyNumberFormat="1" applyBorder="1" applyProtection="1"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66" fontId="9" fillId="0" borderId="0" xfId="0" applyNumberFormat="1" applyFont="1" applyBorder="1" applyAlignment="1" applyProtection="1">
      <alignment vertical="center"/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3" fontId="0" fillId="0" borderId="0" xfId="0" applyNumberFormat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0" fillId="0" borderId="5" xfId="0" quotePrefix="1" applyNumberFormat="1" applyBorder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3" fontId="0" fillId="0" borderId="0" xfId="0" quotePrefix="1" applyNumberFormat="1" applyBorder="1" applyAlignment="1" applyProtection="1">
      <alignment vertical="center"/>
      <protection hidden="1"/>
    </xf>
    <xf numFmtId="4" fontId="0" fillId="0" borderId="0" xfId="0" quotePrefix="1" applyNumberFormat="1" applyBorder="1" applyAlignment="1" applyProtection="1">
      <alignment vertical="center"/>
      <protection hidden="1"/>
    </xf>
    <xf numFmtId="166" fontId="9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0" fontId="0" fillId="0" borderId="0" xfId="0" applyNumberFormat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horizontal="right" vertical="center" wrapText="1"/>
      <protection hidden="1"/>
    </xf>
    <xf numFmtId="3" fontId="0" fillId="0" borderId="5" xfId="0" quotePrefix="1" applyNumberFormat="1" applyBorder="1" applyAlignment="1" applyProtection="1">
      <alignment horizontal="right"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9" fontId="0" fillId="0" borderId="0" xfId="0" applyNumberFormat="1" applyBorder="1" applyAlignment="1" applyProtection="1">
      <alignment vertical="center"/>
      <protection hidden="1"/>
    </xf>
    <xf numFmtId="3" fontId="0" fillId="0" borderId="5" xfId="0" applyNumberFormat="1" applyBorder="1" applyAlignment="1" applyProtection="1">
      <alignment vertical="center"/>
      <protection hidden="1"/>
    </xf>
    <xf numFmtId="0" fontId="0" fillId="0" borderId="0" xfId="0" applyBorder="1"/>
    <xf numFmtId="4" fontId="0" fillId="0" borderId="0" xfId="0" applyNumberFormat="1" applyBorder="1"/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quotePrefix="1" applyBorder="1" applyProtection="1">
      <protection hidden="1"/>
    </xf>
    <xf numFmtId="0" fontId="0" fillId="0" borderId="14" xfId="0" quotePrefix="1" applyBorder="1" applyProtection="1">
      <protection hidden="1"/>
    </xf>
    <xf numFmtId="0" fontId="0" fillId="0" borderId="14" xfId="0" applyBorder="1"/>
    <xf numFmtId="166" fontId="0" fillId="0" borderId="0" xfId="0" applyNumberForma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0" fontId="4" fillId="0" borderId="0" xfId="0" quotePrefix="1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9" fontId="0" fillId="0" borderId="16" xfId="0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9" fontId="0" fillId="0" borderId="11" xfId="0" applyNumberFormat="1" applyBorder="1" applyAlignment="1" applyProtection="1">
      <alignment vertical="center"/>
      <protection hidden="1"/>
    </xf>
    <xf numFmtId="3" fontId="0" fillId="3" borderId="2" xfId="0" applyNumberFormat="1" applyFill="1" applyBorder="1" applyAlignment="1" applyProtection="1">
      <alignment horizontal="left" vertical="center"/>
      <protection locked="0"/>
    </xf>
    <xf numFmtId="3" fontId="0" fillId="0" borderId="16" xfId="0" applyNumberForma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quotePrefix="1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3" fontId="0" fillId="0" borderId="0" xfId="0" applyNumberFormat="1" applyProtection="1">
      <protection hidden="1"/>
    </xf>
    <xf numFmtId="0" fontId="0" fillId="0" borderId="19" xfId="0" applyBorder="1" applyAlignment="1" applyProtection="1">
      <alignment vertical="top" wrapText="1"/>
      <protection hidden="1"/>
    </xf>
    <xf numFmtId="0" fontId="1" fillId="0" borderId="18" xfId="0" applyFont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vertical="top" wrapText="1"/>
      <protection hidden="1"/>
    </xf>
    <xf numFmtId="0" fontId="0" fillId="2" borderId="21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2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quotePrefix="1" applyFont="1" applyFill="1" applyBorder="1" applyAlignment="1" applyProtection="1">
      <alignment horizontal="left" vertical="top"/>
      <protection locked="0"/>
    </xf>
    <xf numFmtId="0" fontId="1" fillId="2" borderId="22" xfId="0" quotePrefix="1" applyFont="1" applyFill="1" applyBorder="1" applyAlignment="1" applyProtection="1">
      <alignment horizontal="left" vertical="top"/>
      <protection locked="0"/>
    </xf>
    <xf numFmtId="3" fontId="0" fillId="0" borderId="0" xfId="0" quotePrefix="1" applyNumberFormat="1" applyAlignment="1">
      <alignment horizontal="right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0" fontId="1" fillId="2" borderId="0" xfId="0" applyFont="1" applyFill="1" applyBorder="1" applyProtection="1">
      <protection locked="0"/>
    </xf>
    <xf numFmtId="0" fontId="0" fillId="0" borderId="0" xfId="0" applyFill="1" applyBorder="1"/>
    <xf numFmtId="0" fontId="0" fillId="0" borderId="1" xfId="0" applyFont="1" applyFill="1" applyBorder="1"/>
    <xf numFmtId="0" fontId="1" fillId="0" borderId="0" xfId="0" quotePrefix="1" applyFont="1"/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quotePrefix="1" applyFont="1" applyBorder="1" applyAlignment="1" applyProtection="1">
      <alignment horizontal="left" vertical="center"/>
      <protection hidden="1"/>
    </xf>
    <xf numFmtId="0" fontId="1" fillId="0" borderId="0" xfId="0" quotePrefix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0" xfId="0" applyFont="1"/>
    <xf numFmtId="0" fontId="0" fillId="0" borderId="0" xfId="0" applyAlignment="1">
      <alignment horizontal="left"/>
    </xf>
    <xf numFmtId="164" fontId="0" fillId="2" borderId="0" xfId="0" applyNumberFormat="1" applyFill="1" applyBorder="1" applyAlignment="1" applyProtection="1">
      <alignment horizontal="left" vertical="center"/>
      <protection locked="0"/>
    </xf>
    <xf numFmtId="164" fontId="1" fillId="0" borderId="0" xfId="0" applyNumberFormat="1" applyFont="1"/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66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quotePrefix="1" applyFill="1" applyBorder="1" applyAlignment="1" applyProtection="1">
      <alignment horizontal="left" vertical="center"/>
      <protection locked="0"/>
    </xf>
    <xf numFmtId="166" fontId="0" fillId="0" borderId="0" xfId="0" applyNumberForma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right" vertical="top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9" fillId="0" borderId="0" xfId="0" applyNumberFormat="1" applyFont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/>
    </xf>
    <xf numFmtId="0" fontId="12" fillId="0" borderId="0" xfId="0" quotePrefix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7"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3" formatCode="#,##0"/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Accumulated costs per year</a:t>
            </a:r>
          </a:p>
        </c:rich>
      </c:tx>
      <c:layout>
        <c:manualLayout>
          <c:xMode val="edge"/>
          <c:yMode val="edge"/>
          <c:x val="0.35313583326836617"/>
          <c:y val="3.3742331288343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1140194958294"/>
          <c:y val="0.12269938650306748"/>
          <c:w val="0.85643702370343389"/>
          <c:h val="0.65644171779141192"/>
        </c:manualLayout>
      </c:layout>
      <c:barChart>
        <c:barDir val="col"/>
        <c:grouping val="clustered"/>
        <c:ser>
          <c:idx val="0"/>
          <c:order val="0"/>
          <c:tx>
            <c:strRef>
              <c:f>Report!$D$106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(Report!$G$102,Report!$I$102,Report!$K$102,Report!$M$102,Report!$O$102)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(Report!$G$117,Report!$I$117,Report!$K$117,Report!$M$117,Report!$O$117)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Report!$D$119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(Report!$G$130,Report!$I$130,Report!$K$130,Report!$M$130,Report!$O$130)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Report!$D$135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(Report!$G$135,Report!$I$135,Report!$K$135,Report!$M$135,Report!$O$135)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1531008"/>
        <c:axId val="141532544"/>
      </c:barChart>
      <c:catAx>
        <c:axId val="14153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1532544"/>
        <c:crosses val="autoZero"/>
        <c:auto val="1"/>
        <c:lblAlgn val="ctr"/>
        <c:lblOffset val="100"/>
        <c:tickLblSkip val="1"/>
        <c:tickMarkSkip val="1"/>
      </c:catAx>
      <c:valAx>
        <c:axId val="14153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1531008"/>
        <c:crosses val="autoZero"/>
        <c:crossBetween val="between"/>
      </c:valAx>
      <c:spPr>
        <a:solidFill>
          <a:srgbClr val="DDDDD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406113839730552E-2"/>
          <c:y val="0.90490797546012269"/>
          <c:w val="0.88118950477724822"/>
          <c:h val="7.36196319018405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78" r="0.75000000000000078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6</xdr:row>
      <xdr:rowOff>76200</xdr:rowOff>
    </xdr:from>
    <xdr:to>
      <xdr:col>8</xdr:col>
      <xdr:colOff>657225</xdr:colOff>
      <xdr:row>11</xdr:row>
      <xdr:rowOff>66675</xdr:rowOff>
    </xdr:to>
    <xdr:pic>
      <xdr:nvPicPr>
        <xdr:cNvPr id="206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0477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136</xdr:row>
      <xdr:rowOff>9525</xdr:rowOff>
    </xdr:from>
    <xdr:to>
      <xdr:col>14</xdr:col>
      <xdr:colOff>561975</xdr:colOff>
      <xdr:row>155</xdr:row>
      <xdr:rowOff>38100</xdr:rowOff>
    </xdr:to>
    <xdr:graphicFrame macro="">
      <xdr:nvGraphicFramePr>
        <xdr:cNvPr id="20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C29"/>
  <sheetViews>
    <sheetView showGridLines="0" showRowColHeaders="0" tabSelected="1" workbookViewId="0">
      <selection activeCell="C17" sqref="C17"/>
    </sheetView>
  </sheetViews>
  <sheetFormatPr defaultRowHeight="12.75"/>
  <cols>
    <col min="1" max="1" width="2.7109375" style="35" customWidth="1"/>
    <col min="2" max="2" width="26.7109375" style="35" customWidth="1"/>
    <col min="3" max="3" width="45.7109375" style="35" customWidth="1"/>
    <col min="4" max="16384" width="9.140625" style="35"/>
  </cols>
  <sheetData>
    <row r="2" spans="2:3" ht="15.75">
      <c r="B2" s="121" t="s">
        <v>64</v>
      </c>
    </row>
    <row r="3" spans="2:3" ht="15.75">
      <c r="B3" s="121"/>
    </row>
    <row r="4" spans="2:3">
      <c r="B4" s="122" t="s">
        <v>87</v>
      </c>
    </row>
    <row r="5" spans="2:3">
      <c r="B5" s="122"/>
    </row>
    <row r="6" spans="2:3">
      <c r="B6" s="122" t="s">
        <v>90</v>
      </c>
    </row>
    <row r="7" spans="2:3">
      <c r="B7" s="122" t="s">
        <v>91</v>
      </c>
    </row>
    <row r="8" spans="2:3">
      <c r="B8" s="122"/>
    </row>
    <row r="9" spans="2:3">
      <c r="B9" s="122" t="s">
        <v>88</v>
      </c>
    </row>
    <row r="10" spans="2:3">
      <c r="B10" s="122" t="s">
        <v>89</v>
      </c>
    </row>
    <row r="11" spans="2:3" ht="15.75">
      <c r="B11" s="121"/>
    </row>
    <row r="12" spans="2:3" ht="15.75">
      <c r="B12" s="121"/>
    </row>
    <row r="13" spans="2:3" ht="15.75">
      <c r="B13" s="121" t="s">
        <v>66</v>
      </c>
    </row>
    <row r="15" spans="2:3">
      <c r="B15" s="35" t="s">
        <v>65</v>
      </c>
      <c r="C15" s="123">
        <v>42986</v>
      </c>
    </row>
    <row r="17" spans="2:3">
      <c r="B17" s="35" t="s">
        <v>53</v>
      </c>
      <c r="C17" s="14" t="s">
        <v>254</v>
      </c>
    </row>
    <row r="18" spans="2:3">
      <c r="B18" s="35" t="s">
        <v>59</v>
      </c>
      <c r="C18" s="192" t="str">
        <f>IF(CL_name="",Blank,IF(VLOOKUP(CL_name,Companies,2,FALSE)=0,Blank,VLOOKUP(CL_name,Companies,2,FALSE)))</f>
        <v>Solvang 25</v>
      </c>
    </row>
    <row r="19" spans="2:3">
      <c r="B19" s="35" t="s">
        <v>58</v>
      </c>
      <c r="C19" s="192" t="str">
        <f>IF(CL_name="",Blank,IF(VLOOKUP(CL_name,Companies,3,FALSE)=0,Blank,VLOOKUP(CL_name,Companies,3,FALSE)))</f>
        <v/>
      </c>
    </row>
    <row r="20" spans="2:3">
      <c r="B20" s="74" t="s">
        <v>54</v>
      </c>
      <c r="C20" s="192">
        <f>IF(CL_name="",Blank,IF(VLOOKUP(CL_name,Companies,4,FALSE)=0,Blank,VLOOKUP(CL_name,Companies,4,FALSE)))</f>
        <v>3450</v>
      </c>
    </row>
    <row r="21" spans="2:3">
      <c r="B21" s="74" t="s">
        <v>60</v>
      </c>
      <c r="C21" s="192" t="str">
        <f>IF(CL_name="",Blank,IF(VLOOKUP(CL_name,Companies,5,FALSE)=0,Blank,VLOOKUP(CL_name,Companies,5,FALSE)))</f>
        <v>Alleroed</v>
      </c>
    </row>
    <row r="22" spans="2:3">
      <c r="B22" s="74" t="s">
        <v>55</v>
      </c>
      <c r="C22" s="192" t="str">
        <f>IF(CL_name="",Blank,IF(VLOOKUP(CL_name,Companies,6,FALSE)=0,Blank,VLOOKUP(CL_name,Companies,6,FALSE)))</f>
        <v>Denmark</v>
      </c>
    </row>
    <row r="23" spans="2:3">
      <c r="B23" s="74" t="s">
        <v>56</v>
      </c>
      <c r="C23" s="192" t="str">
        <f>IF(CL_name="",Blank,IF(VLOOKUP(CL_name,Companies,7,FALSE)=0,Blank,VLOOKUP(CL_name,Companies,7,FALSE)))</f>
        <v>+45 48 14 37 78</v>
      </c>
    </row>
    <row r="24" spans="2:3">
      <c r="B24" s="74" t="s">
        <v>57</v>
      </c>
      <c r="C24" s="192" t="str">
        <f>IF(CL_name="",Blank,IF(VLOOKUP(CL_name,Companies,8,FALSE)=0,Blank,VLOOKUP(CL_name,Companies,8,FALSE)))</f>
        <v>+45 48 14 34 83</v>
      </c>
    </row>
    <row r="26" spans="2:3">
      <c r="B26" s="35" t="s">
        <v>0</v>
      </c>
      <c r="C26" s="197"/>
    </row>
    <row r="27" spans="2:3">
      <c r="B27" s="35" t="s">
        <v>67</v>
      </c>
    </row>
    <row r="29" spans="2:3">
      <c r="B29" s="191" t="s">
        <v>331</v>
      </c>
      <c r="C29" s="14" t="s">
        <v>330</v>
      </c>
    </row>
  </sheetData>
  <sheetProtection password="C861" sheet="1" objects="1" scenarios="1" selectLockedCells="1"/>
  <phoneticPr fontId="2" type="noConversion"/>
  <dataValidations count="2">
    <dataValidation type="list" allowBlank="1" showInputMessage="1" showErrorMessage="1" sqref="C29">
      <formula1>"Metric system,English/American system"</formula1>
    </dataValidation>
    <dataValidation type="list" allowBlank="1" showInputMessage="1" showErrorMessage="1" sqref="C17">
      <formula1>INDEX(Companies,,1)</formula1>
    </dataValidation>
  </dataValidations>
  <pageMargins left="0.75" right="0.75" top="0.73" bottom="1" header="0.5" footer="0.5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1"/>
  <sheetViews>
    <sheetView workbookViewId="0"/>
  </sheetViews>
  <sheetFormatPr defaultRowHeight="12.75"/>
  <cols>
    <col min="1" max="1" width="38" customWidth="1"/>
    <col min="2" max="2" width="6.7109375" customWidth="1"/>
    <col min="3" max="3" width="9" customWidth="1"/>
    <col min="4" max="6" width="3.42578125" customWidth="1"/>
    <col min="7" max="7" width="32.85546875" customWidth="1"/>
    <col min="8" max="8" width="5.140625" customWidth="1"/>
    <col min="9" max="9" width="8.42578125" customWidth="1"/>
    <col min="10" max="10" width="12" bestFit="1" customWidth="1"/>
  </cols>
  <sheetData>
    <row r="1" spans="1:6" ht="15.75">
      <c r="A1" s="15" t="s">
        <v>74</v>
      </c>
    </row>
    <row r="3" spans="1:6">
      <c r="A3" s="10" t="s">
        <v>46</v>
      </c>
    </row>
    <row r="5" spans="1:6">
      <c r="A5" s="13" t="str">
        <f>S1_type&amp;" "&amp;LOWER(S1_box)&amp;" box"</f>
        <v xml:space="preserve">  box</v>
      </c>
    </row>
    <row r="6" spans="1:6">
      <c r="A6" s="4" t="s">
        <v>3</v>
      </c>
      <c r="B6" s="40" t="str">
        <f>IF(Measure="MS","mm","inch")</f>
        <v>mm</v>
      </c>
      <c r="C6" s="5">
        <f>N(S1_box_l)</f>
        <v>0</v>
      </c>
      <c r="D6" s="5"/>
      <c r="E6" s="5"/>
      <c r="F6" s="5"/>
    </row>
    <row r="7" spans="1:6">
      <c r="A7" s="4" t="s">
        <v>4</v>
      </c>
      <c r="B7" s="40" t="str">
        <f>IF(Measure="MS","mm","inch")</f>
        <v>mm</v>
      </c>
      <c r="C7" s="5">
        <f>N(S1_box_w)</f>
        <v>0</v>
      </c>
      <c r="D7" s="5"/>
      <c r="E7" s="5"/>
      <c r="F7" s="5"/>
    </row>
    <row r="8" spans="1:6">
      <c r="A8" s="4" t="s">
        <v>80</v>
      </c>
      <c r="B8" s="40" t="str">
        <f>IF(Measure="MS","mm","inch")</f>
        <v>mm</v>
      </c>
      <c r="C8" s="5">
        <f>N(S1_box_ch)</f>
        <v>0</v>
      </c>
      <c r="D8" s="5"/>
      <c r="E8" s="5"/>
      <c r="F8" s="5"/>
    </row>
    <row r="9" spans="1:6">
      <c r="A9" s="1" t="s">
        <v>6</v>
      </c>
      <c r="B9" s="40" t="str">
        <f>IF(Measure="MS","m3","cu.foot")</f>
        <v>m3</v>
      </c>
      <c r="C9" s="6">
        <f>IF(Measure="MS",C6*C7*C8/1000/1000/1000,C6*C7*C8/12/12/12)</f>
        <v>0</v>
      </c>
      <c r="D9" s="6"/>
      <c r="E9" s="6"/>
      <c r="F9" s="6"/>
    </row>
    <row r="11" spans="1:6">
      <c r="A11" s="13" t="str">
        <f>S1_trans_return&amp;" used for returning"</f>
        <v xml:space="preserve"> used for returning</v>
      </c>
      <c r="B11" s="3"/>
    </row>
    <row r="12" spans="1:6">
      <c r="A12" s="4" t="s">
        <v>3</v>
      </c>
      <c r="B12" s="40" t="str">
        <f>IF(Measure="MS","mm","inch")</f>
        <v>mm</v>
      </c>
      <c r="C12" s="5">
        <f>N(S1_return_l)</f>
        <v>0</v>
      </c>
      <c r="D12" s="5"/>
      <c r="E12" s="5"/>
      <c r="F12" s="5"/>
    </row>
    <row r="13" spans="1:6">
      <c r="A13" s="4" t="s">
        <v>4</v>
      </c>
      <c r="B13" s="40" t="str">
        <f>IF(Measure="MS","mm","inch")</f>
        <v>mm</v>
      </c>
      <c r="C13" s="5">
        <f>N(S1_return_w)</f>
        <v>0</v>
      </c>
      <c r="D13" s="5"/>
      <c r="E13" s="5"/>
      <c r="F13" s="5"/>
    </row>
    <row r="14" spans="1:6">
      <c r="A14" s="4" t="s">
        <v>5</v>
      </c>
      <c r="B14" s="40" t="str">
        <f>IF(Measure="MS","mm","inch")</f>
        <v>mm</v>
      </c>
      <c r="C14" s="5">
        <f>N(S1_return_h)</f>
        <v>0</v>
      </c>
      <c r="D14" s="5"/>
      <c r="E14" s="5"/>
      <c r="F14" s="5"/>
    </row>
    <row r="15" spans="1:6">
      <c r="A15" s="4" t="s">
        <v>6</v>
      </c>
      <c r="B15" s="40" t="str">
        <f>IF(Measure="MS","m3","cu.foot")</f>
        <v>m3</v>
      </c>
      <c r="C15" s="6">
        <f>N(S1_return_vol)</f>
        <v>0</v>
      </c>
      <c r="D15" s="6"/>
      <c r="E15" s="6"/>
      <c r="F15" s="6"/>
    </row>
    <row r="16" spans="1:6">
      <c r="A16" s="4"/>
      <c r="B16" s="3"/>
      <c r="C16" s="6"/>
      <c r="D16" s="6"/>
      <c r="E16" s="6"/>
      <c r="F16" s="6"/>
    </row>
    <row r="17" spans="1:9">
      <c r="A17" s="3" t="s">
        <v>21</v>
      </c>
      <c r="B17" s="40" t="str">
        <f>IF(Measure="MS","mm","inch")</f>
        <v>mm</v>
      </c>
      <c r="C17" s="6">
        <f>S1_tolerance</f>
        <v>5</v>
      </c>
      <c r="D17" s="6"/>
      <c r="E17" s="6"/>
      <c r="F17" s="6"/>
    </row>
    <row r="18" spans="1:9">
      <c r="A18" s="3"/>
      <c r="B18" s="3"/>
      <c r="C18" s="5"/>
      <c r="D18" s="6"/>
      <c r="E18" s="6"/>
      <c r="F18" s="6"/>
    </row>
    <row r="20" spans="1:9">
      <c r="A20" s="2" t="s">
        <v>10</v>
      </c>
      <c r="B20" s="3"/>
    </row>
    <row r="21" spans="1:9">
      <c r="A21" s="12" t="s">
        <v>45</v>
      </c>
      <c r="B21" s="3"/>
    </row>
    <row r="23" spans="1:9">
      <c r="A23" t="s">
        <v>16</v>
      </c>
      <c r="C23">
        <f>INT($C$13/($C$6+$C$17))</f>
        <v>0</v>
      </c>
      <c r="G23" t="s">
        <v>22</v>
      </c>
      <c r="H23" s="40" t="str">
        <f>IF(Measure="MS","mm","inch")</f>
        <v>mm</v>
      </c>
      <c r="I23" s="5">
        <f>$C$13-(C23*$C$6)</f>
        <v>0</v>
      </c>
    </row>
    <row r="24" spans="1:9">
      <c r="A24" t="s">
        <v>17</v>
      </c>
      <c r="C24">
        <f>INT($C$12/($C$7+$C$17))</f>
        <v>0</v>
      </c>
      <c r="G24" t="s">
        <v>23</v>
      </c>
      <c r="H24" s="40" t="str">
        <f>IF(Measure="MS","mm","inch")</f>
        <v>mm</v>
      </c>
      <c r="I24" s="5">
        <f>$C$12-(C24*$C$7)</f>
        <v>0</v>
      </c>
    </row>
    <row r="25" spans="1:9">
      <c r="A25" t="s">
        <v>7</v>
      </c>
      <c r="C25">
        <f>INT($C$14/($C$8+$C$17))</f>
        <v>0</v>
      </c>
      <c r="G25" t="s">
        <v>24</v>
      </c>
      <c r="H25" s="40" t="str">
        <f>IF(Measure="MS","mm","inch")</f>
        <v>mm</v>
      </c>
      <c r="I25" s="5">
        <f>$C$14-(C25*$C$8)</f>
        <v>0</v>
      </c>
    </row>
    <row r="27" spans="1:9">
      <c r="A27" t="s">
        <v>8</v>
      </c>
      <c r="C27">
        <f>+C23*C24*C25</f>
        <v>0</v>
      </c>
    </row>
    <row r="29" spans="1:9">
      <c r="A29" t="s">
        <v>26</v>
      </c>
      <c r="B29" s="40" t="str">
        <f>IF(Measure="MS","m3","cu.foot")</f>
        <v>m3</v>
      </c>
      <c r="C29" s="6">
        <f>+C9*C27</f>
        <v>0</v>
      </c>
      <c r="D29" s="6"/>
      <c r="E29" s="6"/>
      <c r="F29" s="6"/>
    </row>
    <row r="30" spans="1:9">
      <c r="A30" t="s">
        <v>25</v>
      </c>
      <c r="B30" s="40" t="str">
        <f>IF(Measure="MS","m3","cu.foot")</f>
        <v>m3</v>
      </c>
      <c r="C30" s="7">
        <f>IF(Measure="MS",((I23*(C12-I24)*C14)+(I24*C13*C14)+((C6*C7*(C23*C24)*I25)))/1000/1000/1000,((I23*(C12-I24)*C14)+(I24*C13*C14)+((C6*C7*(C23*C24)*I25)))/12/12/12)</f>
        <v>0</v>
      </c>
      <c r="D30" s="8"/>
      <c r="E30" s="8"/>
      <c r="F30" s="8"/>
    </row>
    <row r="31" spans="1:9">
      <c r="B31" s="40" t="str">
        <f>IF(Measure="MS","m3","cu.foot")</f>
        <v>m3</v>
      </c>
      <c r="C31" s="6">
        <f>+C29+C30</f>
        <v>0</v>
      </c>
      <c r="D31" s="6"/>
      <c r="E31" s="6"/>
      <c r="F31" s="6"/>
    </row>
    <row r="32" spans="1:9">
      <c r="A32" t="s">
        <v>11</v>
      </c>
      <c r="B32" s="40" t="str">
        <f>IF(Measure="MS","m3","cu.foot")</f>
        <v>m3</v>
      </c>
      <c r="C32" s="7">
        <f>+C15</f>
        <v>0</v>
      </c>
      <c r="D32" s="8"/>
      <c r="E32" s="8"/>
      <c r="F32" s="8"/>
    </row>
    <row r="33" spans="1:9">
      <c r="A33" t="s">
        <v>12</v>
      </c>
      <c r="B33" s="40" t="str">
        <f>IF(Measure="MS","m3","cu.foot")</f>
        <v>m3</v>
      </c>
      <c r="C33" s="6">
        <f>+C31-C32</f>
        <v>0</v>
      </c>
      <c r="D33" s="6"/>
      <c r="E33" s="6"/>
      <c r="F33" s="6"/>
    </row>
    <row r="36" spans="1:9">
      <c r="A36" s="10" t="s">
        <v>13</v>
      </c>
    </row>
    <row r="37" spans="1:9">
      <c r="A37" s="12" t="s">
        <v>44</v>
      </c>
    </row>
    <row r="38" spans="1:9">
      <c r="A38" s="12" t="s">
        <v>83</v>
      </c>
    </row>
    <row r="39" spans="1:9">
      <c r="A39" s="10"/>
    </row>
    <row r="40" spans="1:9">
      <c r="A40" s="11" t="s">
        <v>7</v>
      </c>
      <c r="C40">
        <f>INT($C$14/($C$8+$C$17))</f>
        <v>0</v>
      </c>
      <c r="G40" t="s">
        <v>24</v>
      </c>
      <c r="H40" s="40" t="str">
        <f>IF(Measure="MS","mm","inch")</f>
        <v>mm</v>
      </c>
      <c r="I40" s="5">
        <f>$C$14-(C40*$C$8)</f>
        <v>0</v>
      </c>
    </row>
    <row r="41" spans="1:9">
      <c r="A41" s="11"/>
      <c r="I41" s="5"/>
    </row>
    <row r="43" spans="1:9">
      <c r="A43" s="9" t="s">
        <v>27</v>
      </c>
      <c r="C43">
        <v>0</v>
      </c>
      <c r="D43" t="s">
        <v>15</v>
      </c>
      <c r="E43">
        <f>INT(($C$13-(C43*($C$6+$C$17)))/($C$7+$C$17))</f>
        <v>0</v>
      </c>
      <c r="F43" t="s">
        <v>14</v>
      </c>
      <c r="G43" t="s">
        <v>22</v>
      </c>
      <c r="H43" s="40" t="str">
        <f>IF(Measure="MS","mm","inch")</f>
        <v>mm</v>
      </c>
      <c r="I43" s="5">
        <f>$C$13-($C$6*C43)-($C$7*E43)</f>
        <v>0</v>
      </c>
    </row>
    <row r="44" spans="1:9">
      <c r="A44" s="1"/>
      <c r="I44" s="5"/>
    </row>
    <row r="45" spans="1:9">
      <c r="A45" t="s">
        <v>19</v>
      </c>
      <c r="C45">
        <f>IF(C43&gt;0,INT($C$12/($C$7+$C$17)),0)</f>
        <v>0</v>
      </c>
      <c r="G45" t="s">
        <v>23</v>
      </c>
      <c r="H45" s="40" t="str">
        <f>IF(Measure="MS","mm","inch")</f>
        <v>mm</v>
      </c>
      <c r="I45" s="5">
        <f>IF(C45=0,0,$C$12-(C45*$C$7))</f>
        <v>0</v>
      </c>
    </row>
    <row r="46" spans="1:9">
      <c r="A46" t="s">
        <v>20</v>
      </c>
      <c r="C46">
        <f>IF(E43&gt;0,INT($C$12/($C$6+$C$17)),0)</f>
        <v>0</v>
      </c>
      <c r="G46" t="s">
        <v>23</v>
      </c>
      <c r="H46" s="40" t="str">
        <f>IF(Measure="MS","mm","inch")</f>
        <v>mm</v>
      </c>
      <c r="I46" s="5">
        <f>IF(C46=0,0,$C$12-(C46*$C$6))</f>
        <v>0</v>
      </c>
    </row>
    <row r="47" spans="1:9">
      <c r="A47" s="1"/>
      <c r="I47" s="5"/>
    </row>
    <row r="48" spans="1:9">
      <c r="A48" t="s">
        <v>8</v>
      </c>
      <c r="C48">
        <f>$C$40*((C43*C45)+(E43*C46))</f>
        <v>0</v>
      </c>
      <c r="I48" s="5"/>
    </row>
    <row r="49" spans="1:9">
      <c r="A49" s="1"/>
      <c r="I49" s="5"/>
    </row>
    <row r="50" spans="1:9">
      <c r="A50" t="s">
        <v>26</v>
      </c>
      <c r="B50" s="40" t="str">
        <f>IF(Measure="MS","m3","cu.foot")</f>
        <v>m3</v>
      </c>
      <c r="C50" s="6">
        <f>$C$9*C48</f>
        <v>0</v>
      </c>
      <c r="I50" s="5"/>
    </row>
    <row r="51" spans="1:9">
      <c r="A51" t="s">
        <v>25</v>
      </c>
      <c r="B51" s="40" t="str">
        <f>IF(Measure="MS","m3","cu.foot")</f>
        <v>m3</v>
      </c>
      <c r="C51" s="7">
        <f>IF($C$40=0,$C$15,IF(Measure="MS",((I43*$C$12*$C$14)+(I45*$C$6*C43*$C$14)+(I46*$C$7*E43*$C$14)+((C48/$C$40)*$C$6*$C$7*$I$40))/1000/1000/1000,((I43*$C$12*$C$14)+(I45*$C$6*C43*$C$14)+(I46*$C$7*E43*$C$14)+((C48/$C$40)*$C$6*$C$7*$I$40))/12/12/12))</f>
        <v>0</v>
      </c>
      <c r="I51" s="5"/>
    </row>
    <row r="52" spans="1:9">
      <c r="B52" s="40" t="str">
        <f>IF(Measure="MS","m3","cu.foot")</f>
        <v>m3</v>
      </c>
      <c r="C52" s="6">
        <f>+C50+C51</f>
        <v>0</v>
      </c>
      <c r="I52" s="5"/>
    </row>
    <row r="53" spans="1:9">
      <c r="A53" t="s">
        <v>11</v>
      </c>
      <c r="B53" s="40" t="str">
        <f>IF(Measure="MS","m3","cu.foot")</f>
        <v>m3</v>
      </c>
      <c r="C53" s="7">
        <f>$C$15</f>
        <v>0</v>
      </c>
      <c r="I53" s="5"/>
    </row>
    <row r="54" spans="1:9">
      <c r="A54" t="s">
        <v>12</v>
      </c>
      <c r="B54" s="40" t="str">
        <f>IF(Measure="MS","m3","cu.foot")</f>
        <v>m3</v>
      </c>
      <c r="C54" s="6">
        <f>+C52-C53</f>
        <v>0</v>
      </c>
      <c r="I54" s="5"/>
    </row>
    <row r="55" spans="1:9">
      <c r="A55" s="1"/>
      <c r="I55" s="5"/>
    </row>
    <row r="56" spans="1:9">
      <c r="A56" s="1"/>
      <c r="I56" s="5"/>
    </row>
    <row r="57" spans="1:9">
      <c r="A57" s="9" t="s">
        <v>18</v>
      </c>
      <c r="C57">
        <f>INT($C$13/(($C$6+$C$17)*1))</f>
        <v>0</v>
      </c>
      <c r="D57" t="s">
        <v>15</v>
      </c>
      <c r="E57">
        <f>INT(($C$13-(C57*($C$6+$C$17)))/($C$7+$C$17))</f>
        <v>0</v>
      </c>
      <c r="F57" t="s">
        <v>14</v>
      </c>
      <c r="G57" t="s">
        <v>22</v>
      </c>
      <c r="H57" s="40" t="str">
        <f>IF(Measure="MS","mm","inch")</f>
        <v>mm</v>
      </c>
      <c r="I57" s="5">
        <f>$C$13-($C$6*C57)-($C$7*E57)</f>
        <v>0</v>
      </c>
    </row>
    <row r="58" spans="1:9">
      <c r="A58" s="1"/>
      <c r="I58" s="5"/>
    </row>
    <row r="59" spans="1:9">
      <c r="A59" t="s">
        <v>19</v>
      </c>
      <c r="C59">
        <f>IF(C57&gt;0,INT($C$12/($C$7+$C$17)),0)</f>
        <v>0</v>
      </c>
      <c r="G59" t="s">
        <v>23</v>
      </c>
      <c r="H59" s="40" t="str">
        <f>IF(Measure="MS","mm","inch")</f>
        <v>mm</v>
      </c>
      <c r="I59" s="5">
        <f>IF(C59=0,0,$C$12-(C59*$C$7))</f>
        <v>0</v>
      </c>
    </row>
    <row r="60" spans="1:9">
      <c r="A60" t="s">
        <v>20</v>
      </c>
      <c r="C60">
        <f>IF(E57&gt;0,INT($C$12/($C$6+$C$17)),0)</f>
        <v>0</v>
      </c>
      <c r="G60" t="s">
        <v>23</v>
      </c>
      <c r="H60" s="40" t="str">
        <f>IF(Measure="MS","mm","inch")</f>
        <v>mm</v>
      </c>
      <c r="I60" s="5">
        <f>IF(C60=0,0,$C$12-(C60*$C$6))</f>
        <v>0</v>
      </c>
    </row>
    <row r="61" spans="1:9">
      <c r="A61" s="1"/>
      <c r="I61" s="5"/>
    </row>
    <row r="62" spans="1:9">
      <c r="A62" t="s">
        <v>8</v>
      </c>
      <c r="C62">
        <f>$C$40*((C57*C59)+(E57*C60))</f>
        <v>0</v>
      </c>
      <c r="I62" s="5"/>
    </row>
    <row r="63" spans="1:9">
      <c r="A63" s="1"/>
      <c r="I63" s="5"/>
    </row>
    <row r="64" spans="1:9">
      <c r="A64" t="s">
        <v>26</v>
      </c>
      <c r="B64" s="40" t="str">
        <f>IF(Measure="MS","m3","cu.foot")</f>
        <v>m3</v>
      </c>
      <c r="C64" s="6">
        <f>$C$9*C62</f>
        <v>0</v>
      </c>
      <c r="I64" s="5"/>
    </row>
    <row r="65" spans="1:9">
      <c r="A65" t="s">
        <v>25</v>
      </c>
      <c r="B65" s="40" t="str">
        <f>IF(Measure="MS","m3","cu.foot")</f>
        <v>m3</v>
      </c>
      <c r="C65" s="7">
        <f>IF($C$40=0,$C$15,IF(Measure="MS",((I57*$C$12*$C$14)+(I59*$C$6*C57*$C$14)+(I60*$C$7*E57*$C$14)+((C62/$C$40)*$C$6*$C$7*$I$40))/1000/1000/1000,((I57*$C$12*$C$14)+(I59*$C$6*C57*$C$14)+(I60*$C$7*E57*$C$14)+((C62/$C$40)*$C$6*$C$7*$I$40))/12/12/12))</f>
        <v>0</v>
      </c>
      <c r="I65" s="5"/>
    </row>
    <row r="66" spans="1:9">
      <c r="B66" s="40" t="str">
        <f>IF(Measure="MS","m3","cu.foot")</f>
        <v>m3</v>
      </c>
      <c r="C66" s="6">
        <f>+C64+C65</f>
        <v>0</v>
      </c>
      <c r="I66" s="5"/>
    </row>
    <row r="67" spans="1:9">
      <c r="A67" t="s">
        <v>11</v>
      </c>
      <c r="B67" s="40" t="str">
        <f>IF(Measure="MS","m3","cu.foot")</f>
        <v>m3</v>
      </c>
      <c r="C67" s="7">
        <f>$C$15</f>
        <v>0</v>
      </c>
      <c r="I67" s="5"/>
    </row>
    <row r="68" spans="1:9">
      <c r="A68" t="s">
        <v>12</v>
      </c>
      <c r="B68" s="40" t="str">
        <f>IF(Measure="MS","m3","cu.foot")</f>
        <v>m3</v>
      </c>
      <c r="C68" s="6">
        <f>+C66-C67</f>
        <v>0</v>
      </c>
      <c r="I68" s="5"/>
    </row>
    <row r="69" spans="1:9">
      <c r="A69" s="1"/>
      <c r="I69" s="5"/>
    </row>
    <row r="70" spans="1:9">
      <c r="A70" s="1"/>
      <c r="I70" s="5"/>
    </row>
    <row r="71" spans="1:9">
      <c r="A71" s="9" t="s">
        <v>28</v>
      </c>
      <c r="C71">
        <f>INT($C$13/(($C$6+$C$17)*2))</f>
        <v>0</v>
      </c>
      <c r="D71" t="s">
        <v>15</v>
      </c>
      <c r="E71">
        <f>INT(($C$13-(C71*($C$6+$C$17)))/($C$7+$C$17))</f>
        <v>0</v>
      </c>
      <c r="F71" t="s">
        <v>14</v>
      </c>
      <c r="G71" t="s">
        <v>22</v>
      </c>
      <c r="H71" s="40" t="str">
        <f>IF(Measure="MS","mm","inch")</f>
        <v>mm</v>
      </c>
      <c r="I71" s="5">
        <f>$C$13-($C$6*C71)-($C$7*E71)</f>
        <v>0</v>
      </c>
    </row>
    <row r="72" spans="1:9">
      <c r="A72" s="1"/>
      <c r="I72" s="5"/>
    </row>
    <row r="73" spans="1:9">
      <c r="A73" t="s">
        <v>19</v>
      </c>
      <c r="C73">
        <f>IF(C71&gt;0,INT($C$12/($C$7+$C$17)),0)</f>
        <v>0</v>
      </c>
      <c r="G73" t="s">
        <v>23</v>
      </c>
      <c r="H73" s="40" t="str">
        <f>IF(Measure="MS","mm","inch")</f>
        <v>mm</v>
      </c>
      <c r="I73" s="5">
        <f>IF(C73=0,0,$C$12-(C73*$C$7))</f>
        <v>0</v>
      </c>
    </row>
    <row r="74" spans="1:9">
      <c r="A74" t="s">
        <v>20</v>
      </c>
      <c r="C74">
        <f>IF(E71&gt;0,INT($C$12/($C$6+$C$17)),0)</f>
        <v>0</v>
      </c>
      <c r="G74" t="s">
        <v>23</v>
      </c>
      <c r="H74" s="40" t="str">
        <f>IF(Measure="MS","mm","inch")</f>
        <v>mm</v>
      </c>
      <c r="I74" s="5">
        <f>IF(C74=0,0,$C$12-(C74*$C$6))</f>
        <v>0</v>
      </c>
    </row>
    <row r="75" spans="1:9">
      <c r="A75" s="1"/>
      <c r="I75" s="5"/>
    </row>
    <row r="76" spans="1:9">
      <c r="A76" t="s">
        <v>8</v>
      </c>
      <c r="C76">
        <f>$C$40*((C71*C73)+(E71*C74))</f>
        <v>0</v>
      </c>
      <c r="I76" s="5"/>
    </row>
    <row r="77" spans="1:9">
      <c r="A77" s="1"/>
      <c r="I77" s="5"/>
    </row>
    <row r="78" spans="1:9">
      <c r="A78" t="s">
        <v>26</v>
      </c>
      <c r="B78" s="40" t="str">
        <f>IF(Measure="MS","m3","cu.foot")</f>
        <v>m3</v>
      </c>
      <c r="C78" s="6">
        <f>$C$9*C76</f>
        <v>0</v>
      </c>
      <c r="I78" s="5"/>
    </row>
    <row r="79" spans="1:9">
      <c r="A79" t="s">
        <v>25</v>
      </c>
      <c r="B79" s="40" t="str">
        <f>IF(Measure="MS","m3","cu.foot")</f>
        <v>m3</v>
      </c>
      <c r="C79" s="7">
        <f>IF($C$40=0,$C$15,IF(Measure="MS",((I71*$C$12*$C$14)+(I73*$C$6*C71*$C$14)+(I74*$C$7*E71*$C$14)+((C76/$C$40)*$C$6*$C$7*$I$40))/1000/1000/1000,((I71*$C$12*$C$14)+(I73*$C$6*C71*$C$14)+(I74*$C$7*E71*$C$14)+((C76/$C$40)*$C$6*$C$7*$I$40))/12/12/12))</f>
        <v>0</v>
      </c>
      <c r="I79" s="5"/>
    </row>
    <row r="80" spans="1:9">
      <c r="B80" s="40" t="str">
        <f>IF(Measure="MS","m3","cu.foot")</f>
        <v>m3</v>
      </c>
      <c r="C80" s="6">
        <f>+C78+C79</f>
        <v>0</v>
      </c>
      <c r="I80" s="5"/>
    </row>
    <row r="81" spans="1:9">
      <c r="A81" t="s">
        <v>11</v>
      </c>
      <c r="B81" s="40" t="str">
        <f>IF(Measure="MS","m3","cu.foot")</f>
        <v>m3</v>
      </c>
      <c r="C81" s="7">
        <f>$C$15</f>
        <v>0</v>
      </c>
      <c r="I81" s="5"/>
    </row>
    <row r="82" spans="1:9">
      <c r="A82" t="s">
        <v>12</v>
      </c>
      <c r="B82" s="40" t="str">
        <f>IF(Measure="MS","m3","cu.foot")</f>
        <v>m3</v>
      </c>
      <c r="C82" s="6">
        <f>+C80-C81</f>
        <v>0</v>
      </c>
      <c r="I82" s="5"/>
    </row>
    <row r="83" spans="1:9">
      <c r="A83" s="1"/>
      <c r="I83" s="5"/>
    </row>
    <row r="84" spans="1:9">
      <c r="A84" s="1"/>
      <c r="I84" s="5"/>
    </row>
    <row r="85" spans="1:9">
      <c r="A85" s="9" t="s">
        <v>29</v>
      </c>
      <c r="C85">
        <f>INT($C$13/(($C$6+$C$17)*3))</f>
        <v>0</v>
      </c>
      <c r="D85" t="s">
        <v>15</v>
      </c>
      <c r="E85">
        <f>INT(($C$13-(C85*($C$6+$C$17)))/($C$7+$C$17))</f>
        <v>0</v>
      </c>
      <c r="F85" t="s">
        <v>14</v>
      </c>
      <c r="G85" t="s">
        <v>22</v>
      </c>
      <c r="H85" s="40" t="str">
        <f>IF(Measure="MS","mm","inch")</f>
        <v>mm</v>
      </c>
      <c r="I85" s="5">
        <f>$C$13-($C$6*C85)-($C$7*E85)</f>
        <v>0</v>
      </c>
    </row>
    <row r="86" spans="1:9">
      <c r="A86" s="1"/>
      <c r="I86" s="5"/>
    </row>
    <row r="87" spans="1:9">
      <c r="A87" t="s">
        <v>19</v>
      </c>
      <c r="C87">
        <f>IF(C85&gt;0,INT($C$12/($C$7+$C$17)),0)</f>
        <v>0</v>
      </c>
      <c r="G87" t="s">
        <v>23</v>
      </c>
      <c r="H87" s="40" t="str">
        <f>IF(Measure="MS","mm","inch")</f>
        <v>mm</v>
      </c>
      <c r="I87" s="5">
        <f>IF(C87=0,0,$C$12-(C87*$C$7))</f>
        <v>0</v>
      </c>
    </row>
    <row r="88" spans="1:9">
      <c r="A88" t="s">
        <v>20</v>
      </c>
      <c r="C88">
        <f>IF(E85&gt;0,INT($C$12/($C$6+$C$17)),0)</f>
        <v>0</v>
      </c>
      <c r="G88" t="s">
        <v>23</v>
      </c>
      <c r="H88" s="40" t="str">
        <f>IF(Measure="MS","mm","inch")</f>
        <v>mm</v>
      </c>
      <c r="I88" s="5">
        <f>IF(C88=0,0,$C$12-(C88*$C$6))</f>
        <v>0</v>
      </c>
    </row>
    <row r="89" spans="1:9">
      <c r="A89" s="1"/>
      <c r="I89" s="5"/>
    </row>
    <row r="90" spans="1:9">
      <c r="A90" t="s">
        <v>8</v>
      </c>
      <c r="C90">
        <f>$C$40*((C85*C87)+(E85*C88))</f>
        <v>0</v>
      </c>
      <c r="I90" s="5"/>
    </row>
    <row r="91" spans="1:9">
      <c r="A91" s="1"/>
      <c r="I91" s="5"/>
    </row>
    <row r="92" spans="1:9">
      <c r="A92" t="s">
        <v>26</v>
      </c>
      <c r="B92" s="40" t="str">
        <f>IF(Measure="MS","m3","cu.foot")</f>
        <v>m3</v>
      </c>
      <c r="C92" s="6">
        <f>$C$9*C90</f>
        <v>0</v>
      </c>
      <c r="I92" s="5"/>
    </row>
    <row r="93" spans="1:9">
      <c r="A93" t="s">
        <v>25</v>
      </c>
      <c r="B93" s="40" t="str">
        <f>IF(Measure="MS","m3","cu.foot")</f>
        <v>m3</v>
      </c>
      <c r="C93" s="7">
        <f>IF($C$40=0,$C$15,IF(Measure="MS",((I85*$C$12*$C$14)+(I87*$C$6*C85*$C$14)+(I88*$C$7*E85*$C$14)+((C90/$C$40)*$C$6*$C$7*$I$40))/1000/1000/1000,((I85*$C$12*$C$14)+(I87*$C$6*C85*$C$14)+(I88*$C$7*E85*$C$14)+((C90/$C$40)*$C$6*$C$7*$I$40))/12/12/12))</f>
        <v>0</v>
      </c>
      <c r="I93" s="5"/>
    </row>
    <row r="94" spans="1:9">
      <c r="B94" s="40" t="str">
        <f>IF(Measure="MS","m3","cu.foot")</f>
        <v>m3</v>
      </c>
      <c r="C94" s="6">
        <f>+C92+C93</f>
        <v>0</v>
      </c>
      <c r="I94" s="5"/>
    </row>
    <row r="95" spans="1:9">
      <c r="A95" t="s">
        <v>11</v>
      </c>
      <c r="B95" s="40" t="str">
        <f>IF(Measure="MS","m3","cu.foot")</f>
        <v>m3</v>
      </c>
      <c r="C95" s="7">
        <f>$C$15</f>
        <v>0</v>
      </c>
      <c r="I95" s="5"/>
    </row>
    <row r="96" spans="1:9">
      <c r="A96" t="s">
        <v>12</v>
      </c>
      <c r="B96" s="40" t="str">
        <f>IF(Measure="MS","m3","cu.foot")</f>
        <v>m3</v>
      </c>
      <c r="C96" s="6">
        <f>+C94-C95</f>
        <v>0</v>
      </c>
      <c r="I96" s="5"/>
    </row>
    <row r="97" spans="1:9">
      <c r="A97" s="1"/>
      <c r="I97" s="5"/>
    </row>
    <row r="99" spans="1:9">
      <c r="A99" s="9" t="s">
        <v>30</v>
      </c>
      <c r="C99">
        <f>INT($C$13/(($C$6+$C$17)*4))</f>
        <v>0</v>
      </c>
      <c r="D99" t="s">
        <v>15</v>
      </c>
      <c r="E99">
        <f>INT(($C$13-(C99*($C$6+$C$17)))/($C$7+$C$17))</f>
        <v>0</v>
      </c>
      <c r="F99" t="s">
        <v>14</v>
      </c>
      <c r="G99" t="s">
        <v>22</v>
      </c>
      <c r="H99" s="40" t="str">
        <f>IF(Measure="MS","mm","inch")</f>
        <v>mm</v>
      </c>
      <c r="I99" s="5">
        <f>$C$13-($C$6*C99)-($C$7*E99)</f>
        <v>0</v>
      </c>
    </row>
    <row r="100" spans="1:9">
      <c r="A100" s="1"/>
      <c r="I100" s="5"/>
    </row>
    <row r="101" spans="1:9">
      <c r="A101" t="s">
        <v>19</v>
      </c>
      <c r="C101">
        <f>IF(C99&gt;0,INT($C$12/($C$7+$C$17)),0)</f>
        <v>0</v>
      </c>
      <c r="G101" t="s">
        <v>23</v>
      </c>
      <c r="H101" s="40" t="str">
        <f>IF(Measure="MS","mm","inch")</f>
        <v>mm</v>
      </c>
      <c r="I101" s="5">
        <f>IF(C101=0,0,$C$12-(C101*$C$7))</f>
        <v>0</v>
      </c>
    </row>
    <row r="102" spans="1:9">
      <c r="A102" t="s">
        <v>20</v>
      </c>
      <c r="C102">
        <f>IF(E99&gt;0,INT($C$12/($C$6+$C$17)),0)</f>
        <v>0</v>
      </c>
      <c r="G102" t="s">
        <v>23</v>
      </c>
      <c r="H102" s="40" t="str">
        <f>IF(Measure="MS","mm","inch")</f>
        <v>mm</v>
      </c>
      <c r="I102" s="5">
        <f>IF(C102=0,0,$C$12-(C102*$C$6))</f>
        <v>0</v>
      </c>
    </row>
    <row r="103" spans="1:9">
      <c r="A103" s="1"/>
      <c r="I103" s="5"/>
    </row>
    <row r="104" spans="1:9">
      <c r="A104" t="s">
        <v>8</v>
      </c>
      <c r="C104">
        <f>$C$40*((C99*C101)+(E99*C102))</f>
        <v>0</v>
      </c>
      <c r="I104" s="5"/>
    </row>
    <row r="105" spans="1:9">
      <c r="A105" s="1"/>
      <c r="I105" s="5"/>
    </row>
    <row r="106" spans="1:9">
      <c r="A106" t="s">
        <v>26</v>
      </c>
      <c r="B106" s="40" t="str">
        <f>IF(Measure="MS","m3","cu.foot")</f>
        <v>m3</v>
      </c>
      <c r="C106" s="6">
        <f>$C$9*C104</f>
        <v>0</v>
      </c>
      <c r="I106" s="5"/>
    </row>
    <row r="107" spans="1:9">
      <c r="A107" t="s">
        <v>25</v>
      </c>
      <c r="B107" s="40" t="str">
        <f>IF(Measure="MS","m3","cu.foot")</f>
        <v>m3</v>
      </c>
      <c r="C107" s="7">
        <f>IF($C$40=0,$C$15,IF(Measure="MS",((I99*$C$12*$C$14)+(I101*$C$6*C99*$C$14)+(I102*$C$7*E99*$C$14)+((C104/$C$40)*$C$6*$C$7*$I$40))/1000/1000/1000,((I99*$C$12*$C$14)+(I101*$C$6*C99*$C$14)+(I102*$C$7*E99*$C$14)+((C104/$C$40)*$C$6*$C$7*$I$40))/12/12/12))</f>
        <v>0</v>
      </c>
      <c r="I107" s="5"/>
    </row>
    <row r="108" spans="1:9">
      <c r="B108" s="40" t="str">
        <f>IF(Measure="MS","m3","cu.foot")</f>
        <v>m3</v>
      </c>
      <c r="C108" s="6">
        <f>+C106+C107</f>
        <v>0</v>
      </c>
      <c r="I108" s="5"/>
    </row>
    <row r="109" spans="1:9">
      <c r="A109" t="s">
        <v>11</v>
      </c>
      <c r="B109" s="40" t="str">
        <f>IF(Measure="MS","m3","cu.foot")</f>
        <v>m3</v>
      </c>
      <c r="C109" s="7">
        <f>$C$15</f>
        <v>0</v>
      </c>
      <c r="I109" s="5"/>
    </row>
    <row r="110" spans="1:9">
      <c r="A110" t="s">
        <v>12</v>
      </c>
      <c r="B110" s="40" t="str">
        <f>IF(Measure="MS","m3","cu.foot")</f>
        <v>m3</v>
      </c>
      <c r="C110" s="6">
        <f>+C108-C109</f>
        <v>0</v>
      </c>
      <c r="I110" s="5"/>
    </row>
    <row r="113" spans="1:9">
      <c r="A113" s="9" t="s">
        <v>31</v>
      </c>
      <c r="C113">
        <f>INT($C$13/(($C$6+$C$17)*5))</f>
        <v>0</v>
      </c>
      <c r="D113" t="s">
        <v>15</v>
      </c>
      <c r="E113">
        <f>INT(($C$13-(C113*($C$6+$C$17)))/($C$7+$C$17))</f>
        <v>0</v>
      </c>
      <c r="F113" t="s">
        <v>14</v>
      </c>
      <c r="G113" t="s">
        <v>22</v>
      </c>
      <c r="H113" s="40" t="str">
        <f>IF(Measure="MS","mm","inch")</f>
        <v>mm</v>
      </c>
      <c r="I113" s="5">
        <f>$C$13-($C$6*C113)-($C$7*E113)</f>
        <v>0</v>
      </c>
    </row>
    <row r="114" spans="1:9">
      <c r="A114" s="1"/>
      <c r="I114" s="5"/>
    </row>
    <row r="115" spans="1:9">
      <c r="A115" t="s">
        <v>19</v>
      </c>
      <c r="C115">
        <f>IF(C113&gt;0,INT($C$12/($C$7+$C$17)),0)</f>
        <v>0</v>
      </c>
      <c r="G115" t="s">
        <v>23</v>
      </c>
      <c r="H115" s="40" t="str">
        <f>IF(Measure="MS","mm","inch")</f>
        <v>mm</v>
      </c>
      <c r="I115" s="5">
        <f>IF(C115=0,0,$C$12-(C115*$C$7))</f>
        <v>0</v>
      </c>
    </row>
    <row r="116" spans="1:9">
      <c r="A116" t="s">
        <v>20</v>
      </c>
      <c r="C116">
        <f>IF(E113&gt;0,INT($C$12/($C$6+$C$17)),0)</f>
        <v>0</v>
      </c>
      <c r="G116" t="s">
        <v>23</v>
      </c>
      <c r="H116" s="40" t="str">
        <f>IF(Measure="MS","mm","inch")</f>
        <v>mm</v>
      </c>
      <c r="I116" s="5">
        <f>IF(C116=0,0,$C$12-(C116*$C$6))</f>
        <v>0</v>
      </c>
    </row>
    <row r="117" spans="1:9">
      <c r="A117" s="1"/>
      <c r="I117" s="5"/>
    </row>
    <row r="118" spans="1:9">
      <c r="A118" t="s">
        <v>8</v>
      </c>
      <c r="C118">
        <f>$C$40*((C113*C115)+(E113*C116))</f>
        <v>0</v>
      </c>
      <c r="I118" s="5"/>
    </row>
    <row r="119" spans="1:9">
      <c r="A119" s="1"/>
      <c r="I119" s="5"/>
    </row>
    <row r="120" spans="1:9">
      <c r="A120" t="s">
        <v>26</v>
      </c>
      <c r="B120" s="40" t="str">
        <f>IF(Measure="MS","m3","cu.foot")</f>
        <v>m3</v>
      </c>
      <c r="C120" s="6">
        <f>$C$9*C118</f>
        <v>0</v>
      </c>
      <c r="I120" s="5"/>
    </row>
    <row r="121" spans="1:9">
      <c r="A121" t="s">
        <v>25</v>
      </c>
      <c r="B121" s="40" t="str">
        <f>IF(Measure="MS","m3","cu.foot")</f>
        <v>m3</v>
      </c>
      <c r="C121" s="7">
        <f>IF($C$40=0,$C$15,IF(Measure="MS",((I113*$C$12*$C$14)+(I115*$C$6*C113*$C$14)+(I116*$C$7*E113*$C$14)+((C118/$C$40)*$C$6*$C$7*$I$40))/1000/1000/1000,((I113*$C$12*$C$14)+(I115*$C$6*C113*$C$14)+(I116*$C$7*E113*$C$14)+((C118/$C$40)*$C$6*$C$7*$I$40))/12/12/12))</f>
        <v>0</v>
      </c>
      <c r="I121" s="5"/>
    </row>
    <row r="122" spans="1:9">
      <c r="B122" s="40" t="str">
        <f>IF(Measure="MS","m3","cu.foot")</f>
        <v>m3</v>
      </c>
      <c r="C122" s="6">
        <f>+C120+C121</f>
        <v>0</v>
      </c>
      <c r="I122" s="5"/>
    </row>
    <row r="123" spans="1:9">
      <c r="A123" t="s">
        <v>11</v>
      </c>
      <c r="B123" s="40" t="str">
        <f>IF(Measure="MS","m3","cu.foot")</f>
        <v>m3</v>
      </c>
      <c r="C123" s="7">
        <f>$C$15</f>
        <v>0</v>
      </c>
      <c r="I123" s="5"/>
    </row>
    <row r="124" spans="1:9">
      <c r="A124" t="s">
        <v>12</v>
      </c>
      <c r="B124" s="40" t="str">
        <f>IF(Measure="MS","m3","cu.foot")</f>
        <v>m3</v>
      </c>
      <c r="C124" s="6">
        <f>+C122-C123</f>
        <v>0</v>
      </c>
      <c r="I124" s="5"/>
    </row>
    <row r="127" spans="1:9">
      <c r="A127" s="9" t="s">
        <v>84</v>
      </c>
      <c r="C127">
        <f>INT($C$13/(($C$6+$C$17)*6))</f>
        <v>0</v>
      </c>
      <c r="D127" t="s">
        <v>15</v>
      </c>
      <c r="E127">
        <f>INT(($C$13-(C127*($C$6+$C$17)))/($C$7+$C$17))</f>
        <v>0</v>
      </c>
      <c r="F127" t="s">
        <v>14</v>
      </c>
      <c r="G127" t="s">
        <v>22</v>
      </c>
      <c r="H127" s="40" t="str">
        <f>IF(Measure="MS","mm","inch")</f>
        <v>mm</v>
      </c>
      <c r="I127" s="5">
        <f>$C$13-($C$6*C127)-($C$7*E127)</f>
        <v>0</v>
      </c>
    </row>
    <row r="128" spans="1:9">
      <c r="A128" s="1"/>
      <c r="I128" s="5"/>
    </row>
    <row r="129" spans="1:9">
      <c r="A129" t="s">
        <v>19</v>
      </c>
      <c r="C129">
        <f>IF(C127&gt;0,INT($C$12/($C$7+$C$17)),0)</f>
        <v>0</v>
      </c>
      <c r="G129" t="s">
        <v>23</v>
      </c>
      <c r="H129" s="40" t="str">
        <f>IF(Measure="MS","mm","inch")</f>
        <v>mm</v>
      </c>
      <c r="I129" s="5">
        <f>IF(C129=0,0,$C$12-(C129*$C$7))</f>
        <v>0</v>
      </c>
    </row>
    <row r="130" spans="1:9">
      <c r="A130" t="s">
        <v>20</v>
      </c>
      <c r="C130">
        <f>IF(E127&gt;0,INT($C$12/($C$6+$C$17)),0)</f>
        <v>0</v>
      </c>
      <c r="G130" t="s">
        <v>23</v>
      </c>
      <c r="H130" s="40" t="str">
        <f>IF(Measure="MS","mm","inch")</f>
        <v>mm</v>
      </c>
      <c r="I130" s="5">
        <f>IF(C130=0,0,$C$12-(C130*$C$6))</f>
        <v>0</v>
      </c>
    </row>
    <row r="131" spans="1:9">
      <c r="A131" s="1"/>
      <c r="I131" s="5"/>
    </row>
    <row r="132" spans="1:9">
      <c r="A132" t="s">
        <v>8</v>
      </c>
      <c r="C132">
        <f>$C$40*((C127*C129)+(E127*C130))</f>
        <v>0</v>
      </c>
      <c r="I132" s="5"/>
    </row>
    <row r="133" spans="1:9">
      <c r="A133" s="1"/>
      <c r="I133" s="5"/>
    </row>
    <row r="134" spans="1:9">
      <c r="A134" t="s">
        <v>26</v>
      </c>
      <c r="B134" s="40" t="str">
        <f>IF(Measure="MS","m3","cu.foot")</f>
        <v>m3</v>
      </c>
      <c r="C134" s="6">
        <f>$C$9*C132</f>
        <v>0</v>
      </c>
      <c r="I134" s="5"/>
    </row>
    <row r="135" spans="1:9">
      <c r="A135" t="s">
        <v>25</v>
      </c>
      <c r="B135" s="40" t="str">
        <f>IF(Measure="MS","m3","cu.foot")</f>
        <v>m3</v>
      </c>
      <c r="C135" s="7">
        <f>IF($C$40=0,$C$15,IF(Measure="MS",((I127*$C$12*$C$14)+(I129*$C$6*C127*$C$14)+(I130*$C$7*E127*$C$14)+((C132/$C$40)*$C$6*$C$7*$I$40))/1000/1000/1000,((I127*$C$12*$C$14)+(I129*$C$6*C127*$C$14)+(I130*$C$7*E127*$C$14)+((C132/$C$40)*$C$6*$C$7*$I$40))/12/12/12))</f>
        <v>0</v>
      </c>
      <c r="I135" s="5"/>
    </row>
    <row r="136" spans="1:9">
      <c r="B136" s="40" t="str">
        <f>IF(Measure="MS","m3","cu.foot")</f>
        <v>m3</v>
      </c>
      <c r="C136" s="6">
        <f>+C134+C135</f>
        <v>0</v>
      </c>
      <c r="I136" s="5"/>
    </row>
    <row r="137" spans="1:9">
      <c r="A137" t="s">
        <v>11</v>
      </c>
      <c r="B137" s="40" t="str">
        <f>IF(Measure="MS","m3","cu.foot")</f>
        <v>m3</v>
      </c>
      <c r="C137" s="7">
        <f>$C$15</f>
        <v>0</v>
      </c>
      <c r="I137" s="5"/>
    </row>
    <row r="138" spans="1:9">
      <c r="A138" t="s">
        <v>12</v>
      </c>
      <c r="B138" s="40" t="str">
        <f>IF(Measure="MS","m3","cu.foot")</f>
        <v>m3</v>
      </c>
      <c r="C138" s="6">
        <f>+C136-C137</f>
        <v>0</v>
      </c>
      <c r="I138" s="5"/>
    </row>
    <row r="141" spans="1:9">
      <c r="A141" t="s">
        <v>32</v>
      </c>
      <c r="C141">
        <f>IF(C54+C68+C82+C96+C110+C124+C138=0,MAX(C48,C62,C76,C90,C104,C118,C138),"Failure in calculation")</f>
        <v>0</v>
      </c>
    </row>
  </sheetData>
  <sheetProtection password="C861" sheet="1" objects="1" scenarios="1"/>
  <phoneticPr fontId="2" type="noConversion"/>
  <pageMargins left="0.75" right="0.75" top="0.73" bottom="0.64" header="0.5" footer="0.36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workbookViewId="0">
      <selection activeCell="B3" sqref="B3"/>
    </sheetView>
  </sheetViews>
  <sheetFormatPr defaultRowHeight="12.75"/>
  <cols>
    <col min="1" max="1" width="2.7109375" style="199" customWidth="1"/>
    <col min="2" max="2" width="40.7109375" style="199" customWidth="1"/>
    <col min="3" max="4" width="20.7109375" style="199" customWidth="1"/>
    <col min="5" max="5" width="10.7109375" style="199" customWidth="1"/>
    <col min="6" max="6" width="20.7109375" style="199" customWidth="1"/>
    <col min="7" max="9" width="15.7109375" style="199" customWidth="1"/>
    <col min="10" max="16384" width="9.140625" style="199"/>
  </cols>
  <sheetData>
    <row r="2" spans="2:9">
      <c r="B2" s="167" t="s">
        <v>53</v>
      </c>
      <c r="C2" s="168" t="s">
        <v>247</v>
      </c>
      <c r="D2" s="168" t="s">
        <v>248</v>
      </c>
      <c r="E2" s="168" t="s">
        <v>249</v>
      </c>
      <c r="F2" s="168" t="s">
        <v>250</v>
      </c>
      <c r="G2" s="168" t="s">
        <v>251</v>
      </c>
      <c r="H2" s="168" t="s">
        <v>252</v>
      </c>
      <c r="I2" s="169" t="s">
        <v>253</v>
      </c>
    </row>
    <row r="3" spans="2:9">
      <c r="B3" s="176" t="s">
        <v>254</v>
      </c>
      <c r="C3" s="177" t="s">
        <v>255</v>
      </c>
      <c r="D3" s="171"/>
      <c r="E3" s="171">
        <v>3450</v>
      </c>
      <c r="F3" s="177" t="s">
        <v>256</v>
      </c>
      <c r="G3" s="177" t="s">
        <v>257</v>
      </c>
      <c r="H3" s="178" t="s">
        <v>258</v>
      </c>
      <c r="I3" s="179" t="s">
        <v>266</v>
      </c>
    </row>
    <row r="4" spans="2:9">
      <c r="B4" s="176" t="s">
        <v>246</v>
      </c>
      <c r="C4" s="177" t="s">
        <v>255</v>
      </c>
      <c r="D4" s="171"/>
      <c r="E4" s="171">
        <v>3450</v>
      </c>
      <c r="F4" s="177" t="s">
        <v>256</v>
      </c>
      <c r="G4" s="177" t="s">
        <v>257</v>
      </c>
      <c r="H4" s="178" t="s">
        <v>258</v>
      </c>
      <c r="I4" s="179" t="s">
        <v>266</v>
      </c>
    </row>
    <row r="5" spans="2:9">
      <c r="B5" s="176" t="s">
        <v>260</v>
      </c>
      <c r="C5" s="177" t="s">
        <v>261</v>
      </c>
      <c r="D5" s="171"/>
      <c r="E5" s="177" t="s">
        <v>262</v>
      </c>
      <c r="F5" s="177" t="s">
        <v>263</v>
      </c>
      <c r="G5" s="177" t="s">
        <v>259</v>
      </c>
      <c r="H5" s="178" t="s">
        <v>264</v>
      </c>
      <c r="I5" s="179" t="s">
        <v>265</v>
      </c>
    </row>
    <row r="6" spans="2:9">
      <c r="B6" s="170"/>
      <c r="C6" s="171"/>
      <c r="D6" s="171"/>
      <c r="E6" s="171"/>
      <c r="F6" s="171"/>
      <c r="G6" s="171"/>
      <c r="H6" s="171"/>
      <c r="I6" s="172"/>
    </row>
    <row r="7" spans="2:9">
      <c r="B7" s="170"/>
      <c r="C7" s="171"/>
      <c r="D7" s="171"/>
      <c r="E7" s="171"/>
      <c r="F7" s="171"/>
      <c r="G7" s="171"/>
      <c r="H7" s="171"/>
      <c r="I7" s="172"/>
    </row>
    <row r="8" spans="2:9">
      <c r="B8" s="170"/>
      <c r="C8" s="171"/>
      <c r="D8" s="171"/>
      <c r="E8" s="171"/>
      <c r="F8" s="171"/>
      <c r="G8" s="171"/>
      <c r="H8" s="171"/>
      <c r="I8" s="172"/>
    </row>
    <row r="9" spans="2:9">
      <c r="B9" s="170"/>
      <c r="C9" s="171"/>
      <c r="D9" s="171"/>
      <c r="E9" s="171"/>
      <c r="F9" s="171"/>
      <c r="G9" s="171"/>
      <c r="H9" s="171"/>
      <c r="I9" s="172"/>
    </row>
    <row r="10" spans="2:9">
      <c r="B10" s="170"/>
      <c r="C10" s="171"/>
      <c r="D10" s="171"/>
      <c r="E10" s="171"/>
      <c r="F10" s="171"/>
      <c r="G10" s="171"/>
      <c r="H10" s="171"/>
      <c r="I10" s="172"/>
    </row>
    <row r="11" spans="2:9">
      <c r="B11" s="170"/>
      <c r="C11" s="171"/>
      <c r="D11" s="171"/>
      <c r="E11" s="171"/>
      <c r="F11" s="171"/>
      <c r="G11" s="171"/>
      <c r="H11" s="171"/>
      <c r="I11" s="172"/>
    </row>
    <row r="12" spans="2:9">
      <c r="B12" s="170"/>
      <c r="C12" s="171"/>
      <c r="D12" s="171"/>
      <c r="E12" s="171"/>
      <c r="F12" s="171"/>
      <c r="G12" s="171"/>
      <c r="H12" s="171"/>
      <c r="I12" s="172"/>
    </row>
    <row r="13" spans="2:9">
      <c r="B13" s="170"/>
      <c r="C13" s="171"/>
      <c r="D13" s="171"/>
      <c r="E13" s="171"/>
      <c r="F13" s="171"/>
      <c r="G13" s="171"/>
      <c r="H13" s="171"/>
      <c r="I13" s="172"/>
    </row>
    <row r="14" spans="2:9">
      <c r="B14" s="170"/>
      <c r="C14" s="171"/>
      <c r="D14" s="171"/>
      <c r="E14" s="171"/>
      <c r="F14" s="171"/>
      <c r="G14" s="171"/>
      <c r="H14" s="171"/>
      <c r="I14" s="172"/>
    </row>
    <row r="15" spans="2:9">
      <c r="B15" s="170"/>
      <c r="C15" s="171"/>
      <c r="D15" s="171"/>
      <c r="E15" s="171"/>
      <c r="F15" s="171"/>
      <c r="G15" s="171"/>
      <c r="H15" s="171"/>
      <c r="I15" s="172"/>
    </row>
    <row r="16" spans="2:9">
      <c r="B16" s="170"/>
      <c r="C16" s="171"/>
      <c r="D16" s="171"/>
      <c r="E16" s="171"/>
      <c r="F16" s="171"/>
      <c r="G16" s="171"/>
      <c r="H16" s="171"/>
      <c r="I16" s="172"/>
    </row>
    <row r="17" spans="2:9">
      <c r="B17" s="173"/>
      <c r="C17" s="174"/>
      <c r="D17" s="174"/>
      <c r="E17" s="174"/>
      <c r="F17" s="174"/>
      <c r="G17" s="174"/>
      <c r="H17" s="174"/>
      <c r="I17" s="175"/>
    </row>
  </sheetData>
  <sheetProtection password="C86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32"/>
  <sheetViews>
    <sheetView showGridLines="0" showRowColHeaders="0" topLeftCell="C1" workbookViewId="0">
      <pane ySplit="9" topLeftCell="A10" activePane="bottomLeft" state="frozen"/>
      <selection activeCell="D1" sqref="D1"/>
      <selection pane="bottomLeft" activeCell="I13" sqref="I13:K13"/>
    </sheetView>
  </sheetViews>
  <sheetFormatPr defaultRowHeight="12.75"/>
  <cols>
    <col min="1" max="2" width="9.140625" style="36" hidden="1" customWidth="1"/>
    <col min="3" max="3" width="2.7109375" style="36" customWidth="1"/>
    <col min="4" max="4" width="1.7109375" style="36" customWidth="1"/>
    <col min="5" max="5" width="5.28515625" style="39" customWidth="1"/>
    <col min="6" max="6" width="11.7109375" style="36" customWidth="1"/>
    <col min="7" max="7" width="30.7109375" style="36" customWidth="1"/>
    <col min="8" max="8" width="6.7109375" style="36" customWidth="1"/>
    <col min="9" max="9" width="15.7109375" style="36" customWidth="1"/>
    <col min="10" max="10" width="4" style="35" customWidth="1"/>
    <col min="11" max="11" width="15.7109375" style="36" customWidth="1"/>
    <col min="12" max="12" width="1.7109375" style="35" customWidth="1"/>
    <col min="13" max="13" width="2.7109375" style="36" customWidth="1"/>
    <col min="14" max="14" width="25.7109375" style="36" customWidth="1"/>
    <col min="15" max="16384" width="9.140625" style="36"/>
  </cols>
  <sheetData>
    <row r="1" spans="1:14">
      <c r="A1" s="36" t="s">
        <v>176</v>
      </c>
      <c r="B1" s="36" t="s">
        <v>177</v>
      </c>
    </row>
    <row r="2" spans="1:14" ht="12.75" customHeight="1">
      <c r="D2" s="37" t="s">
        <v>192</v>
      </c>
      <c r="E2" s="142"/>
      <c r="G2" s="37"/>
      <c r="J2" s="36"/>
      <c r="L2" s="36"/>
    </row>
    <row r="3" spans="1:14" ht="12.75" customHeight="1">
      <c r="D3" s="37"/>
      <c r="E3" s="142"/>
      <c r="G3" s="37"/>
      <c r="J3" s="36"/>
      <c r="L3" s="38" t="str">
        <f>IF(CL_name=Blank,Blank,CL_name)</f>
        <v>Clip-Lok International Ltd.</v>
      </c>
    </row>
    <row r="4" spans="1:14" ht="12.75" customHeight="1">
      <c r="D4" s="36" t="s">
        <v>69</v>
      </c>
      <c r="G4" s="39" t="str">
        <f>IF(ISBLANK(Cust_name),"",Cust_name)</f>
        <v/>
      </c>
      <c r="J4" s="36"/>
      <c r="L4" s="38" t="str">
        <f>IF(CL_address1="",Blank,CL_address1)</f>
        <v>Solvang 25</v>
      </c>
    </row>
    <row r="5" spans="1:14" ht="12.75" customHeight="1">
      <c r="D5" s="36" t="s">
        <v>68</v>
      </c>
      <c r="G5" s="39" t="str">
        <f>IF(ISBLANK(Cust_project),"",Cust_project)</f>
        <v/>
      </c>
      <c r="J5" s="36"/>
      <c r="L5" s="38" t="str">
        <f>IF(CL_zip&amp;CL_town&amp;CL_country=Blank,Blank,IF(CL_address2="",CL_zip&amp;" "&amp;CL_town&amp;", "&amp;CL_country,CL_address2))</f>
        <v>3450 Alleroed, Denmark</v>
      </c>
    </row>
    <row r="6" spans="1:14" ht="12.75" customHeight="1">
      <c r="D6" s="36" t="s">
        <v>70</v>
      </c>
      <c r="G6" s="39" t="str">
        <f>IF(ISBLANK(Study_ver),"",Study_ver)</f>
        <v/>
      </c>
      <c r="J6" s="36"/>
      <c r="L6" s="38" t="str">
        <f>IF(CL_address2="",IF(CL_contact="",Blank,"Contact: "&amp;CL_contact),CL_zip&amp;" "&amp;CL_town&amp;", "&amp;CL_country)</f>
        <v/>
      </c>
    </row>
    <row r="7" spans="1:14" ht="12.75" customHeight="1">
      <c r="D7" s="40" t="s">
        <v>71</v>
      </c>
      <c r="E7" s="141"/>
      <c r="G7" s="41" t="str">
        <f>IF(ISBLANK(Study_date),"",Study_date)</f>
        <v/>
      </c>
      <c r="H7" s="139"/>
      <c r="I7" s="40"/>
      <c r="J7" s="40"/>
      <c r="K7" s="40"/>
      <c r="L7" s="42" t="str">
        <f>IF(CL_address2="",Blank,IF(CL_contact="",Blank,"Contact: "&amp;CL_contact))</f>
        <v/>
      </c>
    </row>
    <row r="8" spans="1:14" ht="13.5" thickBot="1"/>
    <row r="9" spans="1:14" ht="39" customHeight="1" thickBot="1">
      <c r="D9" s="43"/>
      <c r="E9" s="143"/>
      <c r="F9" s="44"/>
      <c r="G9" s="44"/>
      <c r="H9" s="44"/>
      <c r="I9" s="223" t="str">
        <f>"Study 1:  "&amp;IF(S1_stat&gt;0,S1_type&amp;" "&amp;LOWER(S1_box)&amp;" box",Notype)</f>
        <v>Study 1:  Not current</v>
      </c>
      <c r="J9" s="44"/>
      <c r="K9" s="222" t="str">
        <f>"Study 2:  "&amp;IF(S2_stat&gt;0,S2_type&amp;" "&amp;LOWER(S2_box)&amp;" box",Notype)</f>
        <v>Study 2:  Not current</v>
      </c>
      <c r="L9" s="45"/>
      <c r="N9" s="46" t="s">
        <v>78</v>
      </c>
    </row>
    <row r="10" spans="1:14">
      <c r="D10" s="47"/>
      <c r="E10" s="144"/>
      <c r="F10" s="48"/>
      <c r="G10" s="48"/>
      <c r="H10" s="48"/>
      <c r="I10" s="48"/>
      <c r="J10" s="49"/>
      <c r="K10" s="48"/>
      <c r="L10" s="50"/>
      <c r="N10" s="22"/>
    </row>
    <row r="11" spans="1:14">
      <c r="D11" s="51"/>
      <c r="E11" s="147" t="s">
        <v>221</v>
      </c>
      <c r="F11" s="52" t="s">
        <v>222</v>
      </c>
      <c r="G11" s="40"/>
      <c r="H11" s="40"/>
      <c r="I11" s="40"/>
      <c r="J11" s="53"/>
      <c r="K11" s="40"/>
      <c r="L11" s="54"/>
      <c r="N11" s="22"/>
    </row>
    <row r="12" spans="1:14">
      <c r="D12" s="51"/>
      <c r="E12" s="141"/>
      <c r="F12" s="40"/>
      <c r="G12" s="40"/>
      <c r="H12" s="40"/>
      <c r="I12" s="40"/>
      <c r="J12" s="53"/>
      <c r="K12" s="40"/>
      <c r="L12" s="54"/>
      <c r="N12" s="22"/>
    </row>
    <row r="13" spans="1:14">
      <c r="D13" s="51"/>
      <c r="E13" s="188" t="s">
        <v>270</v>
      </c>
      <c r="F13" s="40" t="s">
        <v>1</v>
      </c>
      <c r="G13" s="40"/>
      <c r="H13" s="40"/>
      <c r="I13" s="202"/>
      <c r="J13" s="201"/>
      <c r="K13" s="201"/>
      <c r="L13" s="54"/>
      <c r="N13" s="22"/>
    </row>
    <row r="14" spans="1:14">
      <c r="D14" s="51"/>
      <c r="E14" s="188" t="s">
        <v>271</v>
      </c>
      <c r="F14" s="53" t="s">
        <v>2</v>
      </c>
      <c r="G14" s="53"/>
      <c r="H14" s="53"/>
      <c r="I14" s="201"/>
      <c r="J14" s="201"/>
      <c r="K14" s="201"/>
      <c r="L14" s="54"/>
      <c r="N14" s="22"/>
    </row>
    <row r="15" spans="1:14">
      <c r="D15" s="51"/>
      <c r="E15" s="141"/>
      <c r="F15" s="53"/>
      <c r="G15" s="53"/>
      <c r="H15" s="53"/>
      <c r="I15" s="35"/>
      <c r="K15" s="35"/>
      <c r="L15" s="54"/>
      <c r="N15" s="22"/>
    </row>
    <row r="16" spans="1:14">
      <c r="D16" s="51"/>
      <c r="E16" s="188" t="s">
        <v>272</v>
      </c>
      <c r="F16" s="40" t="s">
        <v>61</v>
      </c>
      <c r="G16" s="40"/>
      <c r="H16" s="53"/>
      <c r="I16" s="18"/>
      <c r="J16" s="124"/>
      <c r="K16" s="124"/>
      <c r="L16" s="54"/>
      <c r="N16" s="22"/>
    </row>
    <row r="17" spans="1:14">
      <c r="D17" s="51"/>
      <c r="E17" s="188" t="s">
        <v>273</v>
      </c>
      <c r="F17" s="40" t="s">
        <v>62</v>
      </c>
      <c r="G17" s="40"/>
      <c r="H17" s="53"/>
      <c r="I17" s="203"/>
      <c r="J17" s="203"/>
      <c r="K17" s="203"/>
      <c r="L17" s="54"/>
      <c r="N17" s="22"/>
    </row>
    <row r="18" spans="1:14">
      <c r="D18" s="51"/>
      <c r="E18" s="141"/>
      <c r="F18" s="40"/>
      <c r="G18" s="40"/>
      <c r="H18" s="40"/>
      <c r="I18" s="40"/>
      <c r="J18" s="53"/>
      <c r="K18" s="40"/>
      <c r="L18" s="54"/>
      <c r="N18" s="22"/>
    </row>
    <row r="19" spans="1:14">
      <c r="A19" s="36">
        <f>IF(OR(ISBLANK(S1_type),ISBLANK(S1_box)),0,IF(S1_box="Reusable",1,2))</f>
        <v>0</v>
      </c>
      <c r="B19" s="36">
        <f>IF(OR(ISBLANK(S2_type),ISBLANK(S2_box)),0,IF(S2_box="Reusable",1,2))</f>
        <v>0</v>
      </c>
      <c r="D19" s="51"/>
      <c r="E19" s="188" t="s">
        <v>274</v>
      </c>
      <c r="F19" s="40" t="s">
        <v>125</v>
      </c>
      <c r="G19" s="40"/>
      <c r="H19" s="53"/>
      <c r="I19" s="28"/>
      <c r="K19" s="28"/>
      <c r="L19" s="54"/>
      <c r="M19" s="53"/>
      <c r="N19" s="22"/>
    </row>
    <row r="20" spans="1:14">
      <c r="D20" s="51"/>
      <c r="E20" s="188" t="s">
        <v>275</v>
      </c>
      <c r="F20" s="40" t="s">
        <v>126</v>
      </c>
      <c r="G20" s="40"/>
      <c r="H20" s="53"/>
      <c r="I20" s="200"/>
      <c r="J20" s="53"/>
      <c r="K20" s="200"/>
      <c r="L20" s="54"/>
      <c r="M20" s="53"/>
      <c r="N20" s="22"/>
    </row>
    <row r="21" spans="1:14">
      <c r="D21" s="51"/>
      <c r="E21" s="141"/>
      <c r="F21" s="40"/>
      <c r="G21" s="40"/>
      <c r="H21" s="53"/>
      <c r="I21"/>
      <c r="J21"/>
      <c r="K21"/>
      <c r="L21" s="54"/>
      <c r="M21" s="53"/>
      <c r="N21" s="22"/>
    </row>
    <row r="22" spans="1:14" ht="12.75" customHeight="1">
      <c r="D22" s="51"/>
      <c r="E22" s="188" t="s">
        <v>276</v>
      </c>
      <c r="F22" s="40" t="s">
        <v>127</v>
      </c>
      <c r="G22" s="40"/>
      <c r="H22" s="53"/>
      <c r="I22" s="204"/>
      <c r="J22"/>
      <c r="K22" s="204"/>
      <c r="L22" s="138"/>
      <c r="M22"/>
      <c r="N22" s="22"/>
    </row>
    <row r="23" spans="1:14">
      <c r="D23" s="51"/>
      <c r="E23" s="141"/>
      <c r="F23" s="40"/>
      <c r="G23" s="40"/>
      <c r="H23" s="53"/>
      <c r="I23" s="204"/>
      <c r="K23" s="204"/>
      <c r="L23" s="54"/>
      <c r="M23" s="35"/>
      <c r="N23" s="22"/>
    </row>
    <row r="24" spans="1:14">
      <c r="D24" s="51"/>
      <c r="E24" s="141"/>
      <c r="F24" s="40"/>
      <c r="G24" s="40"/>
      <c r="H24" s="53"/>
      <c r="I24" s="204"/>
      <c r="K24" s="204"/>
      <c r="L24" s="54"/>
      <c r="M24" s="35"/>
      <c r="N24" s="22"/>
    </row>
    <row r="25" spans="1:14">
      <c r="D25" s="51"/>
      <c r="E25" s="141"/>
      <c r="F25" s="40"/>
      <c r="G25" s="40"/>
      <c r="H25" s="53"/>
      <c r="I25" s="204"/>
      <c r="K25" s="204"/>
      <c r="L25" s="54"/>
      <c r="M25" s="35"/>
      <c r="N25" s="22"/>
    </row>
    <row r="26" spans="1:14">
      <c r="D26" s="51"/>
      <c r="E26" s="141"/>
      <c r="F26" s="40"/>
      <c r="G26" s="40"/>
      <c r="H26" s="53"/>
      <c r="I26" s="35"/>
      <c r="K26" s="35"/>
      <c r="L26" s="54"/>
      <c r="M26" s="35"/>
      <c r="N26" s="22"/>
    </row>
    <row r="27" spans="1:14">
      <c r="D27" s="51"/>
      <c r="E27" s="188" t="s">
        <v>277</v>
      </c>
      <c r="F27" s="40" t="s">
        <v>21</v>
      </c>
      <c r="G27" s="40"/>
      <c r="H27" s="40" t="str">
        <f>IF(Measure="MS","mm","inch")</f>
        <v>mm</v>
      </c>
      <c r="I27" s="195">
        <v>5</v>
      </c>
      <c r="J27" s="125"/>
      <c r="K27" s="195">
        <v>5</v>
      </c>
      <c r="L27" s="127"/>
      <c r="M27" s="40"/>
      <c r="N27" s="22"/>
    </row>
    <row r="28" spans="1:14">
      <c r="D28" s="51"/>
      <c r="E28" s="141"/>
      <c r="F28" s="40" t="s">
        <v>76</v>
      </c>
      <c r="G28" s="40"/>
      <c r="H28" s="40"/>
      <c r="I28" s="35"/>
      <c r="J28" s="125"/>
      <c r="K28" s="40"/>
      <c r="L28" s="54"/>
      <c r="N28" s="22"/>
    </row>
    <row r="29" spans="1:14">
      <c r="D29" s="51"/>
      <c r="E29" s="141"/>
      <c r="F29" s="40" t="s">
        <v>225</v>
      </c>
      <c r="G29" s="40"/>
      <c r="H29" s="40"/>
      <c r="I29" s="40"/>
      <c r="J29" s="40"/>
      <c r="K29" s="40"/>
      <c r="L29" s="54"/>
      <c r="N29" s="22"/>
    </row>
    <row r="30" spans="1:14">
      <c r="D30" s="51"/>
      <c r="E30" s="141"/>
      <c r="F30" s="93" t="str">
        <f>"one time to each dimension. (standard "&amp;IF(Measure="MS","5 mm","0,2 inch")&amp;")"</f>
        <v>one time to each dimension. (standard 5 mm)</v>
      </c>
      <c r="G30" s="40"/>
      <c r="H30" s="40"/>
      <c r="I30" s="40"/>
      <c r="J30" s="40"/>
      <c r="K30" s="40"/>
      <c r="L30" s="54"/>
      <c r="N30" s="22"/>
    </row>
    <row r="31" spans="1:14">
      <c r="D31" s="51"/>
      <c r="E31" s="141"/>
      <c r="F31" s="40"/>
      <c r="G31" s="40"/>
      <c r="H31" s="40"/>
      <c r="I31" s="40"/>
      <c r="J31" s="53"/>
      <c r="K31" s="40"/>
      <c r="L31" s="54"/>
      <c r="N31" s="22"/>
    </row>
    <row r="32" spans="1:14">
      <c r="D32" s="51"/>
      <c r="E32" s="188" t="s">
        <v>278</v>
      </c>
      <c r="F32" s="126" t="s">
        <v>142</v>
      </c>
      <c r="G32" s="53"/>
      <c r="H32" s="53"/>
      <c r="I32" s="201"/>
      <c r="J32" s="201"/>
      <c r="K32" s="201"/>
      <c r="L32" s="54"/>
      <c r="N32" s="22"/>
    </row>
    <row r="33" spans="4:14">
      <c r="D33" s="51"/>
      <c r="E33" s="189" t="s">
        <v>210</v>
      </c>
      <c r="F33" s="126" t="s">
        <v>81</v>
      </c>
      <c r="G33" s="53"/>
      <c r="H33" s="53" t="str">
        <f>IF(Measure="MS","kg","pound")</f>
        <v>kg</v>
      </c>
      <c r="I33" s="25"/>
      <c r="J33" s="125"/>
      <c r="K33" s="40"/>
      <c r="L33" s="54"/>
      <c r="N33" s="22"/>
    </row>
    <row r="34" spans="4:14">
      <c r="D34" s="51"/>
      <c r="E34" s="141"/>
      <c r="F34" s="53"/>
      <c r="G34" s="53"/>
      <c r="H34" s="53"/>
      <c r="I34" s="40"/>
      <c r="J34" s="40"/>
      <c r="K34" s="40"/>
      <c r="L34" s="54"/>
      <c r="N34" s="22"/>
    </row>
    <row r="35" spans="4:14">
      <c r="D35" s="51"/>
      <c r="E35" s="188" t="s">
        <v>279</v>
      </c>
      <c r="F35" s="53" t="s">
        <v>104</v>
      </c>
      <c r="G35" s="53"/>
      <c r="H35" s="40"/>
      <c r="I35" s="184" t="s">
        <v>267</v>
      </c>
      <c r="J35" s="125"/>
      <c r="K35" s="40"/>
      <c r="L35" s="54"/>
      <c r="N35" s="22"/>
    </row>
    <row r="36" spans="4:14">
      <c r="D36" s="51"/>
      <c r="E36" s="188" t="s">
        <v>280</v>
      </c>
      <c r="F36" s="53" t="s">
        <v>63</v>
      </c>
      <c r="G36" s="53"/>
      <c r="H36" s="53"/>
      <c r="I36" s="27">
        <v>365</v>
      </c>
      <c r="J36" s="125"/>
      <c r="K36" s="40"/>
      <c r="L36" s="54"/>
      <c r="N36" s="22"/>
    </row>
    <row r="37" spans="4:14" ht="13.5" thickBot="1">
      <c r="D37" s="51"/>
      <c r="E37" s="141"/>
      <c r="F37" s="40"/>
      <c r="G37" s="40"/>
      <c r="H37" s="40"/>
      <c r="I37" s="40"/>
      <c r="J37" s="53"/>
      <c r="K37" s="40"/>
      <c r="L37" s="54"/>
      <c r="N37" s="23"/>
    </row>
    <row r="38" spans="4:14">
      <c r="D38" s="47"/>
      <c r="E38" s="144"/>
      <c r="F38" s="48"/>
      <c r="G38" s="48"/>
      <c r="H38" s="48"/>
      <c r="I38" s="48"/>
      <c r="J38" s="49"/>
      <c r="K38" s="48"/>
      <c r="L38" s="50"/>
      <c r="N38" s="22"/>
    </row>
    <row r="39" spans="4:14">
      <c r="D39" s="51"/>
      <c r="E39" s="147" t="s">
        <v>214</v>
      </c>
      <c r="F39" s="52" t="s">
        <v>116</v>
      </c>
      <c r="G39" s="52"/>
      <c r="H39" s="40"/>
      <c r="I39" s="40"/>
      <c r="J39" s="53"/>
      <c r="K39" s="40"/>
      <c r="L39" s="54"/>
      <c r="N39" s="22"/>
    </row>
    <row r="40" spans="4:14" ht="12.75" customHeight="1">
      <c r="D40" s="51"/>
      <c r="E40" s="141"/>
      <c r="F40" s="55"/>
      <c r="G40" s="55"/>
      <c r="H40" s="40"/>
      <c r="I40" s="56"/>
      <c r="J40" s="40"/>
      <c r="K40" s="56"/>
      <c r="L40" s="57"/>
      <c r="N40" s="22"/>
    </row>
    <row r="41" spans="4:14" ht="12.75" customHeight="1">
      <c r="D41" s="51"/>
      <c r="E41" s="141"/>
      <c r="F41" s="40" t="s">
        <v>132</v>
      </c>
      <c r="G41" s="40"/>
      <c r="H41" s="40"/>
      <c r="I41" s="40"/>
      <c r="J41" s="40"/>
      <c r="K41" s="56"/>
      <c r="L41" s="57"/>
      <c r="N41" s="22"/>
    </row>
    <row r="42" spans="4:14" ht="12.75" customHeight="1">
      <c r="D42" s="51"/>
      <c r="E42" s="188" t="s">
        <v>281</v>
      </c>
      <c r="F42" s="40" t="str">
        <f>"- Length"</f>
        <v>- Length</v>
      </c>
      <c r="G42" s="69"/>
      <c r="H42" s="40" t="str">
        <f>IF(Measure="MS","mm","inch")</f>
        <v>mm</v>
      </c>
      <c r="I42" s="16"/>
      <c r="J42" s="40"/>
      <c r="K42" s="16"/>
      <c r="L42" s="57"/>
      <c r="N42" s="22"/>
    </row>
    <row r="43" spans="4:14" ht="12.75" customHeight="1">
      <c r="D43" s="51"/>
      <c r="E43" s="188" t="s">
        <v>282</v>
      </c>
      <c r="F43" s="69" t="str">
        <f>"- Width"</f>
        <v>- Width</v>
      </c>
      <c r="G43" s="69"/>
      <c r="H43" s="40" t="str">
        <f>IF(Measure="MS","mm","inch")</f>
        <v>mm</v>
      </c>
      <c r="I43" s="16"/>
      <c r="J43" s="40"/>
      <c r="K43" s="16"/>
      <c r="L43" s="57"/>
      <c r="N43" s="22"/>
    </row>
    <row r="44" spans="4:14" ht="12.75" customHeight="1">
      <c r="D44" s="51"/>
      <c r="E44" s="188" t="s">
        <v>283</v>
      </c>
      <c r="F44" s="69" t="str">
        <f>"- Height"</f>
        <v>- Height</v>
      </c>
      <c r="G44" s="69"/>
      <c r="H44" s="40" t="str">
        <f>IF(Measure="MS","mm","inch")</f>
        <v>mm</v>
      </c>
      <c r="I44" s="16"/>
      <c r="J44" s="40"/>
      <c r="K44" s="16"/>
      <c r="L44" s="57"/>
      <c r="N44" s="22"/>
    </row>
    <row r="45" spans="4:14" ht="12.75" customHeight="1">
      <c r="D45" s="51"/>
      <c r="E45" s="141"/>
      <c r="F45" s="69" t="s">
        <v>6</v>
      </c>
      <c r="G45" s="69"/>
      <c r="H45" s="40" t="str">
        <f>IF(Measure="MS","m3","cu.foot")</f>
        <v>m3</v>
      </c>
      <c r="I45" s="129" t="str">
        <f>IF(SUM(I42:I44)=0,Blank,IF(Measure="MS",I42*I43*I44/1000/1000/1000,I42*I43*I44/12/12/12))</f>
        <v/>
      </c>
      <c r="J45"/>
      <c r="K45" s="129" t="str">
        <f>IF(SUM(K42:K44)=0,Blank,IF(Measure="MS",K42*K43*K44/1000/1000/1000,K42*K43*K44/12/12/12))</f>
        <v/>
      </c>
      <c r="L45" s="57"/>
      <c r="N45" s="22"/>
    </row>
    <row r="46" spans="4:14" ht="12.75" customHeight="1">
      <c r="D46" s="51"/>
      <c r="E46" s="141"/>
      <c r="F46" s="69"/>
      <c r="G46" s="69"/>
      <c r="H46" s="40"/>
      <c r="I46" s="129"/>
      <c r="J46"/>
      <c r="K46" s="129"/>
      <c r="L46" s="57"/>
      <c r="N46" s="22"/>
    </row>
    <row r="47" spans="4:14" ht="12.75" customHeight="1">
      <c r="D47" s="51"/>
      <c r="E47" s="188" t="s">
        <v>284</v>
      </c>
      <c r="F47" s="40" t="s">
        <v>107</v>
      </c>
      <c r="G47" s="40"/>
      <c r="H47" s="40" t="str">
        <f>IF(Measure="MS","mm","inch")</f>
        <v>mm</v>
      </c>
      <c r="I47" s="16"/>
      <c r="J47" s="40"/>
      <c r="K47" s="16"/>
      <c r="L47" s="57"/>
      <c r="N47" s="22"/>
    </row>
    <row r="48" spans="4:14" ht="12.75" customHeight="1">
      <c r="D48" s="51"/>
      <c r="E48" s="141"/>
      <c r="F48" s="69"/>
      <c r="G48" s="69"/>
      <c r="H48" s="40"/>
      <c r="I48"/>
      <c r="J48"/>
      <c r="K48"/>
      <c r="L48" s="57"/>
      <c r="N48" s="22"/>
    </row>
    <row r="49" spans="4:14" ht="12.75" customHeight="1">
      <c r="D49" s="51"/>
      <c r="E49" s="188" t="s">
        <v>285</v>
      </c>
      <c r="F49" s="40" t="s">
        <v>202</v>
      </c>
      <c r="G49" s="69"/>
      <c r="H49" s="40" t="str">
        <f>IF(Measure="MS","mm","inch")</f>
        <v>mm</v>
      </c>
      <c r="I49" s="16"/>
      <c r="J49" s="40"/>
      <c r="K49" s="16"/>
      <c r="L49" s="57"/>
      <c r="N49" s="22"/>
    </row>
    <row r="50" spans="4:14" ht="12.75" customHeight="1">
      <c r="D50" s="51"/>
      <c r="E50" s="188" t="s">
        <v>286</v>
      </c>
      <c r="F50" s="40" t="s">
        <v>203</v>
      </c>
      <c r="G50" s="40"/>
      <c r="H50" s="40" t="str">
        <f>IF(Measure="MS","mm","inch")</f>
        <v>mm</v>
      </c>
      <c r="I50" s="16"/>
      <c r="J50" s="40"/>
      <c r="K50" s="16"/>
      <c r="L50" s="57"/>
      <c r="N50" s="22"/>
    </row>
    <row r="51" spans="4:14" ht="12.75" customHeight="1">
      <c r="D51" s="51"/>
      <c r="E51" s="141"/>
      <c r="F51" s="40"/>
      <c r="G51" s="40"/>
      <c r="H51" s="40"/>
      <c r="I51"/>
      <c r="J51"/>
      <c r="K51"/>
      <c r="L51" s="57"/>
      <c r="N51" s="22"/>
    </row>
    <row r="52" spans="4:14" ht="12.75" customHeight="1">
      <c r="D52" s="51"/>
      <c r="E52" s="188" t="s">
        <v>287</v>
      </c>
      <c r="F52" s="40" t="s">
        <v>191</v>
      </c>
      <c r="G52" s="40"/>
      <c r="H52" s="53" t="str">
        <f>IF(Measure="MS","kg","pound")</f>
        <v>kg</v>
      </c>
      <c r="I52" s="16"/>
      <c r="J52" s="40"/>
      <c r="K52" s="16"/>
      <c r="L52" s="57"/>
      <c r="N52" s="22"/>
    </row>
    <row r="53" spans="4:14" ht="12.75" customHeight="1">
      <c r="D53" s="51"/>
      <c r="E53" s="141"/>
      <c r="F53" s="40"/>
      <c r="G53" s="40"/>
      <c r="H53" s="40"/>
      <c r="I53"/>
      <c r="J53"/>
      <c r="K53"/>
      <c r="L53" s="57"/>
      <c r="N53" s="22"/>
    </row>
    <row r="54" spans="4:14" ht="12.75" customHeight="1">
      <c r="D54" s="51"/>
      <c r="E54" s="188" t="s">
        <v>288</v>
      </c>
      <c r="F54" s="40" t="s">
        <v>108</v>
      </c>
      <c r="G54" s="40"/>
      <c r="H54" s="40"/>
      <c r="I54" s="17"/>
      <c r="J54" s="40"/>
      <c r="K54" s="17"/>
      <c r="L54" s="57"/>
      <c r="N54" s="22"/>
    </row>
    <row r="55" spans="4:14" ht="12.75" customHeight="1">
      <c r="D55" s="51"/>
      <c r="E55" s="141"/>
      <c r="F55" s="40"/>
      <c r="G55" s="40"/>
      <c r="H55" s="40"/>
      <c r="I55" s="35"/>
      <c r="J55" s="40"/>
      <c r="K55" s="35"/>
      <c r="L55" s="57"/>
      <c r="N55" s="22"/>
    </row>
    <row r="56" spans="4:14" ht="12.75" customHeight="1">
      <c r="D56" s="51"/>
      <c r="E56" s="188" t="s">
        <v>289</v>
      </c>
      <c r="F56" s="40" t="s">
        <v>109</v>
      </c>
      <c r="G56" s="40"/>
      <c r="H56" s="40"/>
      <c r="I56" s="16"/>
      <c r="J56" s="40"/>
      <c r="K56" s="16"/>
      <c r="L56" s="57"/>
      <c r="N56" s="22"/>
    </row>
    <row r="57" spans="4:14" ht="12.75" customHeight="1">
      <c r="D57" s="51"/>
      <c r="E57" s="141"/>
      <c r="F57" s="40"/>
      <c r="G57" s="40"/>
      <c r="H57" s="40"/>
      <c r="I57" s="53"/>
      <c r="J57" s="40"/>
      <c r="K57" s="56"/>
      <c r="L57" s="57"/>
      <c r="N57" s="22"/>
    </row>
    <row r="58" spans="4:14" ht="12.75" customHeight="1">
      <c r="D58" s="51"/>
      <c r="E58" s="141"/>
      <c r="F58" s="68" t="s">
        <v>206</v>
      </c>
      <c r="G58" s="40"/>
      <c r="H58" s="40"/>
      <c r="I58" s="53"/>
      <c r="J58" s="40"/>
      <c r="K58" s="56"/>
      <c r="L58" s="57"/>
      <c r="N58" s="22"/>
    </row>
    <row r="59" spans="4:14">
      <c r="D59" s="51"/>
      <c r="E59" s="188" t="s">
        <v>211</v>
      </c>
      <c r="F59" s="40" t="s">
        <v>159</v>
      </c>
      <c r="G59" s="40"/>
      <c r="H59" s="40" t="str">
        <f>IF(Currency=Blank,Blank,Currency)</f>
        <v>EUR</v>
      </c>
      <c r="I59" s="26"/>
      <c r="J59" s="53"/>
      <c r="K59" s="26"/>
      <c r="L59" s="54"/>
      <c r="N59" s="22"/>
    </row>
    <row r="60" spans="4:14">
      <c r="D60" s="51"/>
      <c r="E60" s="189" t="s">
        <v>290</v>
      </c>
      <c r="F60" s="40" t="s">
        <v>150</v>
      </c>
      <c r="G60" s="40"/>
      <c r="H60" s="40" t="str">
        <f>IF(Currency=Blank,Blank,Currency)</f>
        <v>EUR</v>
      </c>
      <c r="I60" s="26"/>
      <c r="J60" s="53"/>
      <c r="K60" s="26"/>
      <c r="L60" s="54"/>
      <c r="N60" s="22"/>
    </row>
    <row r="61" spans="4:14">
      <c r="D61" s="51"/>
      <c r="E61" s="188" t="s">
        <v>291</v>
      </c>
      <c r="F61" s="202"/>
      <c r="G61" s="201"/>
      <c r="H61" s="40" t="str">
        <f>IF(F61="","",Currency)</f>
        <v/>
      </c>
      <c r="I61" s="26"/>
      <c r="J61" s="53"/>
      <c r="K61" s="26"/>
      <c r="L61" s="54"/>
      <c r="N61" s="22"/>
    </row>
    <row r="62" spans="4:14">
      <c r="D62" s="51"/>
      <c r="E62" s="188" t="s">
        <v>292</v>
      </c>
      <c r="F62" s="201"/>
      <c r="G62" s="201"/>
      <c r="H62" s="40" t="str">
        <f>IF(F62="","",Currency)</f>
        <v/>
      </c>
      <c r="I62" s="26"/>
      <c r="J62" s="53"/>
      <c r="K62" s="26"/>
      <c r="L62" s="54"/>
      <c r="N62" s="22"/>
    </row>
    <row r="63" spans="4:14">
      <c r="D63" s="51"/>
      <c r="E63" s="141"/>
      <c r="F63" s="40" t="s">
        <v>93</v>
      </c>
      <c r="G63" s="40"/>
      <c r="H63" s="40" t="str">
        <f>IF(Currency=Blank,Blank,Currency)</f>
        <v>EUR</v>
      </c>
      <c r="I63" s="58">
        <f>SUM(I59:I62)</f>
        <v>0</v>
      </c>
      <c r="J63" s="53"/>
      <c r="K63" s="58">
        <f>SUM(K59:K62)</f>
        <v>0</v>
      </c>
      <c r="L63" s="54"/>
      <c r="N63" s="22"/>
    </row>
    <row r="64" spans="4:14">
      <c r="D64" s="51"/>
      <c r="E64" s="141"/>
      <c r="F64" s="40"/>
      <c r="G64" s="40"/>
      <c r="H64" s="40"/>
      <c r="I64" s="64"/>
      <c r="J64" s="53"/>
      <c r="K64" s="64"/>
      <c r="L64" s="54"/>
      <c r="N64" s="22"/>
    </row>
    <row r="65" spans="1:14">
      <c r="A65" s="36" t="str">
        <f>IF(S1_stat=1,N(I65),Blank)</f>
        <v/>
      </c>
      <c r="B65" s="36" t="str">
        <f>IF(S2_stat=1,N(K65),Blank)</f>
        <v/>
      </c>
      <c r="D65" s="51"/>
      <c r="E65" s="188" t="s">
        <v>293</v>
      </c>
      <c r="F65" s="93" t="s">
        <v>376</v>
      </c>
      <c r="G65" s="40"/>
      <c r="H65" s="40" t="str">
        <f>IF(Currency=Blank,Blank,Currency)</f>
        <v>EUR</v>
      </c>
      <c r="I65" s="26"/>
      <c r="J65" s="53"/>
      <c r="K65" s="26"/>
      <c r="L65" s="54"/>
      <c r="N65" s="22"/>
    </row>
    <row r="66" spans="1:14" ht="13.5" thickBot="1">
      <c r="D66" s="59"/>
      <c r="E66" s="145"/>
      <c r="F66" s="60"/>
      <c r="G66" s="60"/>
      <c r="H66" s="60"/>
      <c r="I66" s="61"/>
      <c r="J66" s="62"/>
      <c r="K66" s="61"/>
      <c r="L66" s="63"/>
      <c r="N66" s="23"/>
    </row>
    <row r="67" spans="1:14">
      <c r="D67" s="47"/>
      <c r="E67" s="144"/>
      <c r="F67" s="48"/>
      <c r="G67" s="48"/>
      <c r="H67" s="48"/>
      <c r="I67" s="48"/>
      <c r="J67" s="49"/>
      <c r="K67" s="48"/>
      <c r="L67" s="50"/>
      <c r="N67" s="22"/>
    </row>
    <row r="68" spans="1:14">
      <c r="D68" s="51"/>
      <c r="E68" s="147" t="s">
        <v>212</v>
      </c>
      <c r="F68" s="52" t="s">
        <v>39</v>
      </c>
      <c r="G68" s="52"/>
      <c r="H68" s="40"/>
      <c r="I68" s="40"/>
      <c r="J68" s="53"/>
      <c r="K68" s="40"/>
      <c r="L68" s="54"/>
      <c r="N68" s="22"/>
    </row>
    <row r="69" spans="1:14">
      <c r="D69" s="51"/>
      <c r="E69" s="141"/>
      <c r="F69" s="52"/>
      <c r="G69" s="52"/>
      <c r="H69" s="40"/>
      <c r="I69" s="40"/>
      <c r="J69" s="53"/>
      <c r="K69" s="40"/>
      <c r="L69" s="54"/>
      <c r="N69" s="22"/>
    </row>
    <row r="70" spans="1:14">
      <c r="D70" s="51"/>
      <c r="E70" s="188" t="s">
        <v>294</v>
      </c>
      <c r="F70" s="93" t="s">
        <v>360</v>
      </c>
      <c r="G70" s="40"/>
      <c r="H70" s="40" t="str">
        <f>IF(Currency=Blank,Blank,Currency)</f>
        <v>EUR</v>
      </c>
      <c r="I70" s="20"/>
      <c r="K70" s="65" t="str">
        <f>IF(ISBLANK(I70),"",I70)</f>
        <v/>
      </c>
      <c r="L70" s="66"/>
      <c r="N70" s="22"/>
    </row>
    <row r="71" spans="1:14">
      <c r="D71" s="51"/>
      <c r="E71" s="141"/>
      <c r="F71" s="40"/>
      <c r="G71" s="40"/>
      <c r="H71" s="40"/>
      <c r="I71"/>
      <c r="J71"/>
      <c r="K71"/>
      <c r="L71" s="66"/>
      <c r="N71" s="22"/>
    </row>
    <row r="72" spans="1:14">
      <c r="D72" s="51"/>
      <c r="E72" s="188" t="s">
        <v>295</v>
      </c>
      <c r="F72" s="40" t="s">
        <v>37</v>
      </c>
      <c r="G72" s="40"/>
      <c r="H72" s="40" t="s">
        <v>38</v>
      </c>
      <c r="I72" s="20"/>
      <c r="J72" s="53"/>
      <c r="K72" s="20"/>
      <c r="L72" s="54"/>
      <c r="N72" s="22"/>
    </row>
    <row r="73" spans="1:14">
      <c r="D73" s="51"/>
      <c r="E73" s="141"/>
      <c r="F73" s="40"/>
      <c r="G73" s="40"/>
      <c r="H73" s="40"/>
      <c r="I73" s="35"/>
      <c r="K73" s="35"/>
      <c r="L73" s="54"/>
      <c r="N73" s="22"/>
    </row>
    <row r="74" spans="1:14">
      <c r="D74" s="51"/>
      <c r="E74" s="141"/>
      <c r="F74" s="68" t="s">
        <v>207</v>
      </c>
      <c r="G74" s="40"/>
      <c r="H74" s="40"/>
      <c r="I74" s="35"/>
      <c r="K74" s="35"/>
      <c r="L74" s="54"/>
      <c r="N74" s="22"/>
    </row>
    <row r="75" spans="1:14">
      <c r="D75" s="51"/>
      <c r="E75" s="141"/>
      <c r="F75" s="93" t="s">
        <v>361</v>
      </c>
      <c r="G75" s="40"/>
      <c r="H75" s="40" t="str">
        <f>IF(Currency=Blank,Blank,Currency)</f>
        <v>EUR</v>
      </c>
      <c r="I75" s="64">
        <f>N(I70)/60*I72</f>
        <v>0</v>
      </c>
      <c r="J75" s="53"/>
      <c r="K75" s="64">
        <f>N(K70)/60*K72</f>
        <v>0</v>
      </c>
      <c r="L75" s="54"/>
      <c r="N75" s="22"/>
    </row>
    <row r="76" spans="1:14">
      <c r="D76" s="51"/>
      <c r="E76" s="188" t="s">
        <v>296</v>
      </c>
      <c r="F76" s="40" t="s">
        <v>97</v>
      </c>
      <c r="G76" s="40"/>
      <c r="H76" s="40" t="str">
        <f>IF(Currency=Blank,Blank,Currency)</f>
        <v>EUR</v>
      </c>
      <c r="I76" s="20"/>
      <c r="J76" s="53"/>
      <c r="K76" s="20"/>
      <c r="L76" s="54"/>
      <c r="N76" s="22"/>
    </row>
    <row r="77" spans="1:14">
      <c r="D77" s="51"/>
      <c r="E77" s="188" t="s">
        <v>297</v>
      </c>
      <c r="F77" s="40" t="s">
        <v>149</v>
      </c>
      <c r="G77" s="40"/>
      <c r="H77" s="40" t="str">
        <f>IF(Currency=Blank,Blank,Currency)</f>
        <v>EUR</v>
      </c>
      <c r="I77" s="20"/>
      <c r="J77" s="53"/>
      <c r="K77" s="20"/>
      <c r="L77" s="54"/>
      <c r="N77" s="22"/>
    </row>
    <row r="78" spans="1:14">
      <c r="D78" s="51"/>
      <c r="E78" s="188" t="s">
        <v>298</v>
      </c>
      <c r="F78" s="201"/>
      <c r="G78" s="201"/>
      <c r="H78" s="40" t="str">
        <f>IF(F78="","",Currency)</f>
        <v/>
      </c>
      <c r="I78" s="20"/>
      <c r="J78" s="53"/>
      <c r="K78" s="20"/>
      <c r="L78" s="54"/>
      <c r="N78" s="22"/>
    </row>
    <row r="79" spans="1:14">
      <c r="D79" s="51"/>
      <c r="E79" s="188" t="s">
        <v>299</v>
      </c>
      <c r="F79" s="201"/>
      <c r="G79" s="201"/>
      <c r="H79" s="40" t="str">
        <f>IF(F79="","",Currency)</f>
        <v/>
      </c>
      <c r="I79" s="20"/>
      <c r="J79" s="53"/>
      <c r="K79" s="20"/>
      <c r="L79" s="54"/>
      <c r="N79" s="22"/>
    </row>
    <row r="80" spans="1:14">
      <c r="D80" s="51"/>
      <c r="E80" s="141"/>
      <c r="F80" s="40" t="s">
        <v>40</v>
      </c>
      <c r="G80" s="40"/>
      <c r="H80" s="40" t="str">
        <f>IF(Currency=Blank,Blank,Currency)</f>
        <v>EUR</v>
      </c>
      <c r="I80" s="58">
        <f>SUM(I75:I79)</f>
        <v>0</v>
      </c>
      <c r="J80" s="53"/>
      <c r="K80" s="58">
        <f>SUM(K75:K79)</f>
        <v>0</v>
      </c>
      <c r="L80" s="54"/>
      <c r="N80" s="22"/>
    </row>
    <row r="81" spans="4:14" ht="13.5" thickBot="1">
      <c r="D81" s="59"/>
      <c r="E81" s="145"/>
      <c r="F81" s="60"/>
      <c r="G81" s="60"/>
      <c r="H81" s="60"/>
      <c r="I81" s="61"/>
      <c r="J81" s="62"/>
      <c r="K81" s="61"/>
      <c r="L81" s="63"/>
      <c r="N81" s="23"/>
    </row>
    <row r="82" spans="4:14">
      <c r="D82" s="47"/>
      <c r="E82" s="144"/>
      <c r="F82" s="48"/>
      <c r="G82" s="48"/>
      <c r="H82" s="48"/>
      <c r="I82" s="48"/>
      <c r="J82" s="49"/>
      <c r="K82" s="48"/>
      <c r="L82" s="50"/>
      <c r="N82" s="22"/>
    </row>
    <row r="83" spans="4:14">
      <c r="D83" s="51"/>
      <c r="E83" s="147" t="s">
        <v>213</v>
      </c>
      <c r="F83" s="52" t="s">
        <v>98</v>
      </c>
      <c r="G83" s="52"/>
      <c r="H83" s="40"/>
      <c r="I83" s="40"/>
      <c r="J83" s="53"/>
      <c r="K83" s="40"/>
      <c r="L83" s="54"/>
      <c r="N83" s="22"/>
    </row>
    <row r="84" spans="4:14">
      <c r="D84" s="51"/>
      <c r="E84" s="141"/>
      <c r="F84" s="52"/>
      <c r="G84" s="52"/>
      <c r="H84" s="40"/>
      <c r="I84" s="40"/>
      <c r="J84" s="53"/>
      <c r="K84" s="40"/>
      <c r="L84" s="54"/>
      <c r="N84" s="22"/>
    </row>
    <row r="85" spans="4:14">
      <c r="D85" s="51"/>
      <c r="E85" s="188" t="s">
        <v>300</v>
      </c>
      <c r="F85" s="40" t="s">
        <v>99</v>
      </c>
      <c r="G85" s="40"/>
      <c r="H85" s="40" t="str">
        <f>IF(Currency=Blank,Blank,Currency)</f>
        <v>EUR</v>
      </c>
      <c r="I85" s="20"/>
      <c r="J85" s="53"/>
      <c r="K85" s="65" t="str">
        <f>IF(ISBLANK(I85),"",I85)</f>
        <v/>
      </c>
      <c r="L85" s="54"/>
      <c r="N85" s="22"/>
    </row>
    <row r="86" spans="4:14">
      <c r="D86" s="51"/>
      <c r="E86" s="141"/>
      <c r="F86" s="40"/>
      <c r="G86" s="40"/>
      <c r="H86" s="40"/>
      <c r="I86"/>
      <c r="J86"/>
      <c r="K86" s="65"/>
      <c r="L86" s="54"/>
      <c r="N86" s="22"/>
    </row>
    <row r="87" spans="4:14">
      <c r="D87" s="51"/>
      <c r="E87" s="188" t="s">
        <v>301</v>
      </c>
      <c r="F87" s="40" t="s">
        <v>101</v>
      </c>
      <c r="G87" s="40"/>
      <c r="H87" s="40" t="s">
        <v>33</v>
      </c>
      <c r="I87" s="21"/>
      <c r="J87" s="53"/>
      <c r="K87" s="21"/>
      <c r="L87" s="54"/>
      <c r="N87" s="22"/>
    </row>
    <row r="88" spans="4:14" ht="13.5" thickBot="1">
      <c r="D88" s="59"/>
      <c r="E88" s="145"/>
      <c r="F88" s="60"/>
      <c r="G88" s="60"/>
      <c r="H88" s="60"/>
      <c r="I88" s="61"/>
      <c r="J88" s="62"/>
      <c r="K88" s="61"/>
      <c r="L88" s="63"/>
      <c r="N88" s="23"/>
    </row>
    <row r="89" spans="4:14">
      <c r="D89" s="47"/>
      <c r="E89" s="144"/>
      <c r="F89" s="48"/>
      <c r="G89" s="48"/>
      <c r="H89" s="48"/>
      <c r="I89" s="48"/>
      <c r="J89" s="49"/>
      <c r="K89" s="48"/>
      <c r="L89" s="50"/>
      <c r="N89" s="22"/>
    </row>
    <row r="90" spans="4:14">
      <c r="D90" s="51"/>
      <c r="E90" s="147" t="s">
        <v>215</v>
      </c>
      <c r="F90" s="52" t="s">
        <v>269</v>
      </c>
      <c r="G90" s="52"/>
      <c r="H90" s="40"/>
      <c r="I90" s="40"/>
      <c r="J90" s="53"/>
      <c r="K90" s="40"/>
      <c r="L90" s="54"/>
      <c r="N90" s="22"/>
    </row>
    <row r="91" spans="4:14">
      <c r="D91" s="51"/>
      <c r="E91" s="141"/>
      <c r="F91" s="52"/>
      <c r="G91" s="52"/>
      <c r="H91" s="40"/>
      <c r="I91" s="40"/>
      <c r="J91" s="53"/>
      <c r="K91" s="40"/>
      <c r="L91" s="54"/>
      <c r="N91" s="22"/>
    </row>
    <row r="92" spans="4:14">
      <c r="D92" s="51"/>
      <c r="E92" s="188" t="s">
        <v>302</v>
      </c>
      <c r="F92" s="40" t="s">
        <v>95</v>
      </c>
      <c r="G92" s="40"/>
      <c r="H92" s="40" t="s">
        <v>33</v>
      </c>
      <c r="I92" s="21"/>
      <c r="J92" s="53"/>
      <c r="K92" s="21"/>
      <c r="L92" s="54"/>
      <c r="N92" s="22"/>
    </row>
    <row r="93" spans="4:14">
      <c r="D93" s="51"/>
      <c r="E93" s="141"/>
      <c r="F93" s="40"/>
      <c r="G93" s="40"/>
      <c r="H93" s="40"/>
      <c r="I93" s="35"/>
      <c r="K93" s="35"/>
      <c r="L93" s="54"/>
      <c r="N93" s="22"/>
    </row>
    <row r="94" spans="4:14">
      <c r="D94" s="51"/>
      <c r="E94" s="141"/>
      <c r="F94" s="40" t="s">
        <v>94</v>
      </c>
      <c r="G94" s="40"/>
      <c r="H94" s="40" t="str">
        <f>IF(Currency=Blank,Blank,Currency)</f>
        <v>EUR</v>
      </c>
      <c r="I94" s="64">
        <f>IF(S1_stat=1,I63*I92,0)</f>
        <v>0</v>
      </c>
      <c r="J94" s="53"/>
      <c r="K94" s="64">
        <f>IF(S2_stat=1,K63*K92,0)</f>
        <v>0</v>
      </c>
      <c r="L94" s="54"/>
      <c r="N94" s="22"/>
    </row>
    <row r="95" spans="4:14" ht="13.5" thickBot="1">
      <c r="D95" s="59"/>
      <c r="E95" s="145"/>
      <c r="F95" s="60"/>
      <c r="G95" s="60"/>
      <c r="H95" s="60"/>
      <c r="I95" s="61"/>
      <c r="J95" s="62"/>
      <c r="K95" s="61"/>
      <c r="L95" s="63"/>
      <c r="N95" s="23"/>
    </row>
    <row r="96" spans="4:14">
      <c r="D96" s="47"/>
      <c r="E96" s="144"/>
      <c r="F96" s="48"/>
      <c r="G96" s="48"/>
      <c r="H96" s="48"/>
      <c r="I96" s="48"/>
      <c r="J96" s="49"/>
      <c r="K96" s="48"/>
      <c r="L96" s="50"/>
      <c r="N96" s="22"/>
    </row>
    <row r="97" spans="1:14">
      <c r="D97" s="51"/>
      <c r="E97" s="147" t="s">
        <v>223</v>
      </c>
      <c r="F97" s="52" t="s">
        <v>179</v>
      </c>
      <c r="G97" s="52"/>
      <c r="H97" s="40"/>
      <c r="I97" s="40"/>
      <c r="J97" s="53"/>
      <c r="K97" s="40"/>
      <c r="L97" s="54"/>
      <c r="N97" s="22"/>
    </row>
    <row r="98" spans="1:14">
      <c r="D98" s="51"/>
      <c r="E98" s="141"/>
      <c r="F98" s="52"/>
      <c r="G98" s="52"/>
      <c r="H98" s="40"/>
      <c r="I98" s="40"/>
      <c r="J98" s="53"/>
      <c r="K98" s="40"/>
      <c r="L98" s="54"/>
      <c r="N98" s="22"/>
    </row>
    <row r="99" spans="1:14">
      <c r="D99" s="51"/>
      <c r="E99" s="188" t="s">
        <v>303</v>
      </c>
      <c r="F99" s="40" t="s">
        <v>186</v>
      </c>
      <c r="G99" s="40"/>
      <c r="H99" s="40"/>
      <c r="I99" s="200"/>
      <c r="J99" s="53"/>
      <c r="K99" s="200"/>
      <c r="L99" s="54"/>
      <c r="N99" s="22"/>
    </row>
    <row r="100" spans="1:14">
      <c r="D100" s="51"/>
      <c r="E100" s="188" t="s">
        <v>304</v>
      </c>
      <c r="F100" s="40" t="s">
        <v>187</v>
      </c>
      <c r="G100" s="40"/>
      <c r="H100" s="40"/>
      <c r="I100" s="135"/>
      <c r="J100" s="136" t="s">
        <v>183</v>
      </c>
      <c r="K100" s="135"/>
      <c r="L100" s="137" t="s">
        <v>183</v>
      </c>
      <c r="N100" s="22"/>
    </row>
    <row r="101" spans="1:14">
      <c r="A101" s="36">
        <f>IF('Data collection'!I101="Rear",1,IF('Data collection'!I101="Rear and side",2,0))</f>
        <v>0</v>
      </c>
      <c r="B101" s="36">
        <f>IF('Data collection'!K101="Rear",1,IF('Data collection'!K101="Rear and side",2,0))</f>
        <v>0</v>
      </c>
      <c r="D101" s="51"/>
      <c r="E101" s="188" t="s">
        <v>305</v>
      </c>
      <c r="F101" s="40" t="s">
        <v>188</v>
      </c>
      <c r="G101" s="40"/>
      <c r="H101" s="40"/>
      <c r="I101" s="200"/>
      <c r="J101" s="53"/>
      <c r="K101" s="200"/>
      <c r="L101" s="54"/>
      <c r="N101" s="22"/>
    </row>
    <row r="102" spans="1:14">
      <c r="D102" s="51"/>
      <c r="E102" s="141"/>
      <c r="F102" s="52"/>
      <c r="G102" s="52"/>
      <c r="H102" s="40"/>
      <c r="I102" s="40"/>
      <c r="J102" s="53"/>
      <c r="K102" s="40"/>
      <c r="L102" s="54"/>
      <c r="N102" s="22"/>
    </row>
    <row r="103" spans="1:14">
      <c r="D103" s="51"/>
      <c r="E103" s="141"/>
      <c r="F103" s="55" t="s">
        <v>196</v>
      </c>
      <c r="G103" s="52"/>
      <c r="H103" s="40"/>
      <c r="I103" s="40"/>
      <c r="J103" s="53"/>
      <c r="K103" s="40"/>
      <c r="L103" s="54"/>
      <c r="N103" s="22"/>
    </row>
    <row r="104" spans="1:14">
      <c r="D104" s="51"/>
      <c r="E104" s="141"/>
      <c r="F104" s="69" t="s">
        <v>3</v>
      </c>
      <c r="G104" s="69"/>
      <c r="H104" s="40" t="str">
        <f>IF(Measure="MS","mm","inch")</f>
        <v>mm</v>
      </c>
      <c r="I104" s="128" t="str">
        <f>IF(S1_type_send="",Blank,VLOOKUP(S1_type_send,Transport_dim,5,FALSE)/IF(Measure="MS",1,25.4))</f>
        <v/>
      </c>
      <c r="J104" s="53"/>
      <c r="K104" s="128" t="str">
        <f>IF(S2_type_send="",Blank,VLOOKUP(S2_type_send,Transport_dim,5,FALSE)/IF(Measure="MS",1,25.4))</f>
        <v/>
      </c>
      <c r="L104" s="54"/>
      <c r="N104" s="22"/>
    </row>
    <row r="105" spans="1:14">
      <c r="D105" s="51"/>
      <c r="E105" s="141"/>
      <c r="F105" s="69" t="s">
        <v>4</v>
      </c>
      <c r="G105" s="69"/>
      <c r="H105" s="40" t="str">
        <f>IF(Measure="MS","mm","inch")</f>
        <v>mm</v>
      </c>
      <c r="I105" s="128" t="str">
        <f>IF(S1_type_send="",Blank,VLOOKUP(S1_type_send,Transport_dim,6,FALSE)/IF(Measure="MS",1,25.4))</f>
        <v/>
      </c>
      <c r="J105" s="53"/>
      <c r="K105" s="128" t="str">
        <f>IF(S2_type_send="",Blank,VLOOKUP(S2_type_send,Transport_dim,6,FALSE)/IF(Measure="MS",1,25.4))</f>
        <v/>
      </c>
      <c r="L105" s="54"/>
      <c r="N105" s="22"/>
    </row>
    <row r="106" spans="1:14">
      <c r="D106" s="51"/>
      <c r="E106" s="141"/>
      <c r="F106" s="69" t="s">
        <v>5</v>
      </c>
      <c r="G106" s="69"/>
      <c r="H106" s="40" t="str">
        <f>IF(Measure="MS","mm","inch")</f>
        <v>mm</v>
      </c>
      <c r="I106" s="128" t="str">
        <f>IF(S1_type_send="",Blank,VLOOKUP(S1_type_send,Transport_dim,7,FALSE)/IF(Measure="MS",1,25.4))</f>
        <v/>
      </c>
      <c r="J106" s="53"/>
      <c r="K106" s="128" t="str">
        <f>IF(S2_type_send="",Blank,VLOOKUP(S2_type_send,Transport_dim,7,FALSE)/IF(Measure="MS",1,25.4))</f>
        <v/>
      </c>
      <c r="L106" s="54"/>
      <c r="N106" s="22"/>
    </row>
    <row r="107" spans="1:14">
      <c r="D107" s="51"/>
      <c r="E107" s="141"/>
      <c r="F107" s="69" t="s">
        <v>6</v>
      </c>
      <c r="G107" s="69"/>
      <c r="H107" s="40" t="str">
        <f>IF(Measure="MS","m3","cu.foot")</f>
        <v>m3</v>
      </c>
      <c r="I107" s="129" t="str">
        <f>IF(SUM(I104:I106)=0,Blank,IF(Measure="MS",I104*I105*I106/1000/1000/1000,I104*I105*I106/12/12/12))</f>
        <v/>
      </c>
      <c r="J107" s="53"/>
      <c r="K107" s="129" t="str">
        <f>IF(SUM(K104:K106)=0,Blank,IF(Measure="MS",K104*K105*K106/1000/1000/1000,K104*K105*K106/12/12/12))</f>
        <v/>
      </c>
      <c r="L107" s="54"/>
      <c r="N107" s="22"/>
    </row>
    <row r="108" spans="1:14">
      <c r="D108" s="51"/>
      <c r="E108" s="141"/>
      <c r="F108" s="69"/>
      <c r="G108" s="69"/>
      <c r="H108" s="40"/>
      <c r="I108" s="129"/>
      <c r="J108" s="53"/>
      <c r="K108" s="129"/>
      <c r="L108" s="54"/>
      <c r="N108" s="22"/>
    </row>
    <row r="109" spans="1:14">
      <c r="D109" s="51"/>
      <c r="E109" s="141"/>
      <c r="F109" s="55" t="s">
        <v>197</v>
      </c>
      <c r="G109" s="52"/>
      <c r="H109" s="40"/>
      <c r="I109" s="40"/>
      <c r="J109" s="53"/>
      <c r="K109" s="40"/>
      <c r="L109" s="54"/>
      <c r="N109" s="22"/>
    </row>
    <row r="110" spans="1:14">
      <c r="A110" s="128" t="str">
        <f>IF(VALUE(I110)=0,I104,I110)</f>
        <v/>
      </c>
      <c r="B110" s="128" t="str">
        <f>IF(VALUE(K110)=0,K104,K110)</f>
        <v/>
      </c>
      <c r="D110" s="51"/>
      <c r="E110" s="188" t="s">
        <v>306</v>
      </c>
      <c r="F110" s="69" t="s">
        <v>3</v>
      </c>
      <c r="G110" s="69"/>
      <c r="H110" s="40" t="str">
        <f>IF(Measure="MS","mm","inch")</f>
        <v>mm</v>
      </c>
      <c r="I110" s="16"/>
      <c r="J110" s="53"/>
      <c r="K110" s="16"/>
      <c r="L110" s="54"/>
      <c r="N110" s="22"/>
    </row>
    <row r="111" spans="1:14">
      <c r="A111" s="128" t="str">
        <f>IF(VALUE(I111)=0,I105,I111)</f>
        <v/>
      </c>
      <c r="B111" s="128" t="str">
        <f>IF(VALUE(K111)=0,K105,K111)</f>
        <v/>
      </c>
      <c r="D111" s="51"/>
      <c r="E111" s="188" t="s">
        <v>307</v>
      </c>
      <c r="F111" s="69" t="s">
        <v>4</v>
      </c>
      <c r="G111" s="69"/>
      <c r="H111" s="40" t="str">
        <f>IF(Measure="MS","mm","inch")</f>
        <v>mm</v>
      </c>
      <c r="I111" s="16"/>
      <c r="J111" s="53"/>
      <c r="K111" s="16"/>
      <c r="L111" s="54"/>
      <c r="N111" s="22"/>
    </row>
    <row r="112" spans="1:14">
      <c r="A112" s="128" t="str">
        <f>IF(VALUE(I112)=0,I106,I112)</f>
        <v/>
      </c>
      <c r="B112" s="128" t="str">
        <f>IF(VALUE(K112)=0,K106,K112)</f>
        <v/>
      </c>
      <c r="D112" s="51"/>
      <c r="E112" s="188" t="s">
        <v>308</v>
      </c>
      <c r="F112" s="69" t="s">
        <v>5</v>
      </c>
      <c r="G112" s="69"/>
      <c r="H112" s="40" t="str">
        <f>IF(Measure="MS","mm","inch")</f>
        <v>mm</v>
      </c>
      <c r="I112" s="16"/>
      <c r="J112" s="53"/>
      <c r="K112" s="16"/>
      <c r="L112" s="54"/>
      <c r="N112" s="22"/>
    </row>
    <row r="113" spans="1:14">
      <c r="A113" s="129" t="str">
        <f>IF(OR(A110="",OR(A111="",A112="")),Blank,IF(Measure="MS",A110*A111*A112/1000/1000/1000,A110*A111*A112/12/12/12))</f>
        <v/>
      </c>
      <c r="B113" s="129" t="str">
        <f>IF(OR(B110="",OR(B111="",B112="")),Blank,IF(Measure="MS",B110*B111*B112/1000/1000/1000,B110*B111*B112/12/12/12))</f>
        <v/>
      </c>
      <c r="D113" s="51"/>
      <c r="E113" s="141"/>
      <c r="F113" s="69" t="s">
        <v>6</v>
      </c>
      <c r="G113" s="69"/>
      <c r="H113" s="40" t="str">
        <f>IF(Measure="MS","m3","cu.foot")</f>
        <v>m3</v>
      </c>
      <c r="I113" s="129" t="str">
        <f>IF(I107=A113,Blank,A113)</f>
        <v/>
      </c>
      <c r="J113" s="53"/>
      <c r="K113" s="129" t="str">
        <f>IF(K107=B113,Blank,B113)</f>
        <v/>
      </c>
      <c r="L113" s="54"/>
      <c r="N113" s="22"/>
    </row>
    <row r="114" spans="1:14">
      <c r="D114" s="51"/>
      <c r="E114" s="141"/>
      <c r="F114" s="52"/>
      <c r="G114" s="52"/>
      <c r="H114" s="40"/>
      <c r="I114" s="40"/>
      <c r="J114" s="53"/>
      <c r="K114" s="40"/>
      <c r="L114" s="54"/>
      <c r="N114" s="22"/>
    </row>
    <row r="115" spans="1:14">
      <c r="D115" s="51"/>
      <c r="E115" s="141"/>
      <c r="F115" s="40" t="s">
        <v>184</v>
      </c>
      <c r="G115" s="52"/>
      <c r="H115" s="93" t="s">
        <v>336</v>
      </c>
      <c r="I115" s="130" t="str">
        <f>IF(OR(S1_box_hand="",S1_send_vol="",S1_send_hand=0),Blank,IF(AND(S1_box_hand="2-ways",S1_send_hand=1),S1_send_2w,S1_send_4w))</f>
        <v/>
      </c>
      <c r="J115" s="53"/>
      <c r="K115" s="130" t="str">
        <f>IF(OR(S2_box_hand="",S2_send_vol="",S2_send_hand=0),Blank,IF(AND(S2_box_hand="2-ways",S2_send_hand=1),S2_send_2w,S2_send_4w))</f>
        <v/>
      </c>
      <c r="L115" s="54"/>
      <c r="N115" s="22"/>
    </row>
    <row r="116" spans="1:14">
      <c r="D116" s="51"/>
      <c r="E116" s="141"/>
      <c r="F116" s="40" t="s">
        <v>189</v>
      </c>
      <c r="G116" s="52"/>
      <c r="H116" s="40"/>
      <c r="I116" s="40"/>
      <c r="J116" s="53"/>
      <c r="K116" s="40"/>
      <c r="L116" s="54"/>
      <c r="N116" s="22"/>
    </row>
    <row r="117" spans="1:14">
      <c r="D117" s="51"/>
      <c r="E117" s="141"/>
      <c r="F117" s="40" t="s">
        <v>190</v>
      </c>
      <c r="G117" s="52"/>
      <c r="H117" s="40"/>
      <c r="I117" s="40"/>
      <c r="J117" s="53"/>
      <c r="K117" s="40"/>
      <c r="L117" s="54"/>
      <c r="N117" s="22"/>
    </row>
    <row r="118" spans="1:14">
      <c r="D118" s="51"/>
      <c r="E118" s="141"/>
      <c r="F118" s="40"/>
      <c r="G118" s="52"/>
      <c r="H118" s="40"/>
      <c r="I118" s="40"/>
      <c r="J118" s="53"/>
      <c r="K118" s="40"/>
      <c r="L118" s="54"/>
      <c r="N118" s="22"/>
    </row>
    <row r="119" spans="1:14">
      <c r="A119" s="36" t="str">
        <f>IF(VALUE('Data collection'!I119)=0,'Data collection'!I115,'Data collection'!I119)</f>
        <v/>
      </c>
      <c r="B119" s="36" t="str">
        <f>IF(VALUE('Data collection'!K119)=0,'Data collection'!K115,'Data collection'!K119)</f>
        <v/>
      </c>
      <c r="D119" s="51"/>
      <c r="E119" s="188" t="s">
        <v>309</v>
      </c>
      <c r="F119" s="93" t="s">
        <v>368</v>
      </c>
      <c r="G119" s="52"/>
      <c r="H119" s="93" t="s">
        <v>336</v>
      </c>
      <c r="I119" s="16"/>
      <c r="J119" s="53"/>
      <c r="K119" s="16"/>
      <c r="L119" s="54"/>
      <c r="N119" s="22"/>
    </row>
    <row r="120" spans="1:14">
      <c r="D120" s="51"/>
      <c r="E120" s="141"/>
      <c r="F120" s="93"/>
      <c r="G120" s="52"/>
      <c r="H120" s="40"/>
      <c r="I120" s="40"/>
      <c r="J120" s="53"/>
      <c r="K120" s="40"/>
      <c r="L120" s="54"/>
      <c r="N120" s="22"/>
    </row>
    <row r="121" spans="1:14">
      <c r="D121" s="51"/>
      <c r="E121" s="141"/>
      <c r="F121" s="218" t="s">
        <v>362</v>
      </c>
      <c r="G121" s="52"/>
      <c r="H121" s="40"/>
      <c r="I121" s="40"/>
      <c r="J121" s="53"/>
      <c r="K121" s="40"/>
      <c r="L121" s="54"/>
      <c r="N121" s="22"/>
    </row>
    <row r="122" spans="1:14">
      <c r="D122" s="51"/>
      <c r="E122" s="141"/>
      <c r="F122" s="218" t="s">
        <v>363</v>
      </c>
      <c r="G122" s="52"/>
      <c r="H122" s="40"/>
      <c r="I122" s="40"/>
      <c r="J122" s="53"/>
      <c r="K122" s="40"/>
      <c r="L122" s="54"/>
      <c r="N122" s="22"/>
    </row>
    <row r="123" spans="1:14">
      <c r="D123" s="51"/>
      <c r="E123" s="141"/>
      <c r="F123" s="218" t="s">
        <v>364</v>
      </c>
      <c r="G123" s="52"/>
      <c r="H123" s="40"/>
      <c r="I123" s="40"/>
      <c r="J123" s="53"/>
      <c r="K123" s="40"/>
      <c r="L123" s="54"/>
      <c r="N123" s="22"/>
    </row>
    <row r="124" spans="1:14">
      <c r="D124" s="51"/>
      <c r="E124" s="141"/>
      <c r="F124" s="218" t="s">
        <v>366</v>
      </c>
      <c r="G124" s="52"/>
      <c r="H124" s="40"/>
      <c r="I124" s="40"/>
      <c r="J124" s="53"/>
      <c r="K124" s="40"/>
      <c r="L124" s="54"/>
      <c r="N124" s="22"/>
    </row>
    <row r="125" spans="1:14">
      <c r="D125" s="51"/>
      <c r="E125" s="141"/>
      <c r="F125" s="218" t="s">
        <v>365</v>
      </c>
      <c r="G125" s="52"/>
      <c r="H125" s="40"/>
      <c r="I125" s="40"/>
      <c r="J125" s="53"/>
      <c r="K125" s="40"/>
      <c r="L125" s="54"/>
      <c r="N125" s="22"/>
    </row>
    <row r="126" spans="1:14">
      <c r="D126" s="51"/>
      <c r="E126" s="141"/>
      <c r="F126" s="93"/>
      <c r="G126" s="52"/>
      <c r="H126" s="40"/>
      <c r="I126" s="40"/>
      <c r="J126" s="53"/>
      <c r="K126" s="40"/>
      <c r="L126" s="54"/>
      <c r="N126" s="22"/>
    </row>
    <row r="127" spans="1:14">
      <c r="D127" s="51"/>
      <c r="E127" s="141"/>
      <c r="F127" s="93" t="s">
        <v>358</v>
      </c>
      <c r="G127" s="40"/>
      <c r="H127" s="40" t="str">
        <f>IF(Measure="MS","m3","cu.foot")</f>
        <v>m3</v>
      </c>
      <c r="I127" s="129" t="str">
        <f>IF(OR(S1_stat=0,S1_box_hand="",S1_send_vol="",S1_send_hand=0),Blank,IF(Measure="MS",S1_send_vol-(S1_box_l*S1_box_w*S1_box_h/1000/1000/1000*S1_box_trans_send),S1_send_vol-(S1_box_l*S1_box_w*S1_box_h/12/12/12*S1_box_trans_send)))</f>
        <v/>
      </c>
      <c r="J127" s="53"/>
      <c r="K127" s="129" t="str">
        <f>IF(OR(S2_stat=0,S2_box_hand="",S2_send_vol="",S2_send_hand=0),Blank,IF(Measure="MS",S2_send_vol-(S2_box_l*S2_box_w*S2_box_h/1000/1000/1000*S2_box_trans_send),S2_send_vol-(S2_box_l*S2_box_w*S2_box_h/12/12/12*S2_box_trans_send)))</f>
        <v/>
      </c>
      <c r="L127" s="54"/>
      <c r="N127" s="22"/>
    </row>
    <row r="128" spans="1:14">
      <c r="D128" s="51"/>
      <c r="E128" s="141"/>
      <c r="F128" s="52"/>
      <c r="G128" s="52"/>
      <c r="H128" s="69" t="s">
        <v>33</v>
      </c>
      <c r="I128" s="131" t="str">
        <f>IF(OR(I127="",S1_send_vol=0),"",I127/S1_send_vol)</f>
        <v/>
      </c>
      <c r="J128" s="53"/>
      <c r="K128" s="131" t="str">
        <f>IF(OR(K127="",S2_send_vol=0),"",K127/S2_send_vol)</f>
        <v/>
      </c>
      <c r="L128" s="54"/>
      <c r="N128" s="22"/>
    </row>
    <row r="129" spans="4:14">
      <c r="D129" s="51"/>
      <c r="E129" s="141"/>
      <c r="F129" s="52"/>
      <c r="G129" s="52"/>
      <c r="H129" s="40"/>
      <c r="I129" s="131"/>
      <c r="J129" s="53"/>
      <c r="K129" s="131"/>
      <c r="L129" s="54"/>
      <c r="N129" s="22"/>
    </row>
    <row r="130" spans="4:14">
      <c r="D130" s="51"/>
      <c r="E130" s="141"/>
      <c r="F130" s="40" t="s">
        <v>185</v>
      </c>
      <c r="G130" s="52"/>
      <c r="H130" s="53" t="str">
        <f>IF(Measure="MS","kg","pound")</f>
        <v>kg</v>
      </c>
      <c r="I130" s="97" t="str">
        <f>IF(OR(Item_weight="",S1_box_item="",S1_box_weight="",S1_send_hand=0),Blank,(Item_weight*S1_box_item+S1_box_weight)*S1_box_trans_send)</f>
        <v/>
      </c>
      <c r="J130" s="53"/>
      <c r="K130" s="97" t="str">
        <f>IF(OR(Item_weight="",S2_box_item="",S2_box_weight="",S2_send_hand=0),Blank,(Item_weight*S2_box_item+S2_box_weight)*S2_box_trans_send)</f>
        <v/>
      </c>
      <c r="L130" s="54"/>
      <c r="N130" s="22"/>
    </row>
    <row r="131" spans="4:14">
      <c r="D131" s="51"/>
      <c r="E131" s="141"/>
      <c r="F131" s="217" t="str">
        <f>IF(OR(S1_send_weight&lt;&gt;"",S2_send_weight&lt;&gt;""),"Remember to control weight limitations",Blank)</f>
        <v/>
      </c>
      <c r="G131" s="52"/>
      <c r="H131" s="40"/>
      <c r="I131" s="131"/>
      <c r="J131" s="53"/>
      <c r="K131" s="131"/>
      <c r="L131" s="54"/>
      <c r="N131" s="22"/>
    </row>
    <row r="132" spans="4:14">
      <c r="D132" s="51"/>
      <c r="E132" s="141"/>
      <c r="F132" s="52"/>
      <c r="G132" s="52"/>
      <c r="H132" s="40"/>
      <c r="I132" s="131"/>
      <c r="J132" s="53"/>
      <c r="K132" s="131"/>
      <c r="L132" s="54"/>
      <c r="N132" s="22"/>
    </row>
    <row r="133" spans="4:14">
      <c r="D133" s="51"/>
      <c r="E133" s="141"/>
      <c r="F133" s="140" t="s">
        <v>208</v>
      </c>
      <c r="G133" s="52"/>
      <c r="H133" s="40"/>
      <c r="I133" s="131"/>
      <c r="J133" s="53"/>
      <c r="K133" s="131"/>
      <c r="L133" s="54"/>
      <c r="N133" s="22"/>
    </row>
    <row r="134" spans="4:14">
      <c r="D134" s="51"/>
      <c r="E134" s="188" t="s">
        <v>310</v>
      </c>
      <c r="F134" s="93" t="s">
        <v>371</v>
      </c>
      <c r="G134" s="40"/>
      <c r="H134" s="40" t="str">
        <f>IF(Currency=Blank,Blank,Currency)</f>
        <v>EUR</v>
      </c>
      <c r="I134" s="20"/>
      <c r="J134" s="53"/>
      <c r="K134" s="20"/>
      <c r="L134" s="54"/>
      <c r="N134" s="22"/>
    </row>
    <row r="135" spans="4:14">
      <c r="D135" s="51"/>
      <c r="E135" s="188" t="s">
        <v>311</v>
      </c>
      <c r="F135" s="40" t="s">
        <v>148</v>
      </c>
      <c r="G135" s="40"/>
      <c r="H135" s="40" t="str">
        <f>IF(Currency=Blank,Blank,Currency)</f>
        <v>EUR</v>
      </c>
      <c r="I135" s="20"/>
      <c r="J135" s="53"/>
      <c r="K135" s="20"/>
      <c r="L135" s="54"/>
      <c r="N135" s="22"/>
    </row>
    <row r="136" spans="4:14">
      <c r="D136" s="51"/>
      <c r="E136" s="189" t="s">
        <v>216</v>
      </c>
      <c r="F136" s="201"/>
      <c r="G136" s="201"/>
      <c r="H136" s="40" t="str">
        <f>IF(F136="","",Currency)</f>
        <v/>
      </c>
      <c r="I136" s="20"/>
      <c r="J136" s="53"/>
      <c r="K136" s="20"/>
      <c r="L136" s="54"/>
      <c r="N136" s="22"/>
    </row>
    <row r="137" spans="4:14">
      <c r="D137" s="51"/>
      <c r="E137" s="188" t="s">
        <v>312</v>
      </c>
      <c r="F137" s="201"/>
      <c r="G137" s="201"/>
      <c r="H137" s="40" t="str">
        <f>IF(F137="","",Currency)</f>
        <v/>
      </c>
      <c r="I137" s="20"/>
      <c r="J137" s="53"/>
      <c r="K137" s="20"/>
      <c r="L137" s="54"/>
      <c r="N137" s="22"/>
    </row>
    <row r="138" spans="4:14">
      <c r="D138" s="51"/>
      <c r="E138" s="141"/>
      <c r="F138" s="40" t="s">
        <v>42</v>
      </c>
      <c r="G138" s="40"/>
      <c r="H138" s="40" t="str">
        <f>IF(Currency=Blank,Blank,Currency)</f>
        <v>EUR</v>
      </c>
      <c r="I138" s="58">
        <f>SUM(I134:I137)</f>
        <v>0</v>
      </c>
      <c r="J138" s="53"/>
      <c r="K138" s="58">
        <f>SUM(K134:K137)</f>
        <v>0</v>
      </c>
      <c r="L138" s="54"/>
      <c r="N138" s="22"/>
    </row>
    <row r="139" spans="4:14">
      <c r="D139" s="51"/>
      <c r="E139" s="141"/>
      <c r="F139" s="40" t="s">
        <v>43</v>
      </c>
      <c r="G139" s="40"/>
      <c r="H139" s="40" t="str">
        <f>IF(Currency=Blank,Blank,Currency)</f>
        <v>EUR</v>
      </c>
      <c r="I139" s="64" t="str">
        <f>IF(N(S1_box_trans_send)=0,Notype,I138/S1_box_trans_send)</f>
        <v>Not current</v>
      </c>
      <c r="J139" s="53"/>
      <c r="K139" s="64" t="str">
        <f>IF(N(S2_box_trans_send)=0,Notype,K138/S2_box_trans_send)</f>
        <v>Not current</v>
      </c>
      <c r="L139" s="54"/>
      <c r="N139" s="22"/>
    </row>
    <row r="140" spans="4:14" ht="13.5" thickBot="1">
      <c r="D140" s="59"/>
      <c r="E140" s="145"/>
      <c r="F140" s="60"/>
      <c r="G140" s="60"/>
      <c r="H140" s="60"/>
      <c r="I140" s="61"/>
      <c r="J140" s="62"/>
      <c r="K140" s="61"/>
      <c r="L140" s="63"/>
      <c r="N140" s="23"/>
    </row>
    <row r="141" spans="4:14">
      <c r="D141" s="47"/>
      <c r="E141" s="144"/>
      <c r="F141" s="48"/>
      <c r="G141" s="48"/>
      <c r="H141" s="48"/>
      <c r="I141" s="67"/>
      <c r="J141" s="49"/>
      <c r="K141" s="67"/>
      <c r="L141" s="50"/>
      <c r="N141" s="22"/>
    </row>
    <row r="142" spans="4:14">
      <c r="D142" s="51"/>
      <c r="E142" s="147" t="s">
        <v>217</v>
      </c>
      <c r="F142" s="52" t="s">
        <v>199</v>
      </c>
      <c r="G142" s="52"/>
      <c r="H142" s="40"/>
      <c r="I142" s="40"/>
      <c r="J142" s="53"/>
      <c r="K142" s="40"/>
      <c r="L142" s="54"/>
      <c r="N142" s="22"/>
    </row>
    <row r="143" spans="4:14">
      <c r="D143" s="51"/>
      <c r="E143" s="141"/>
      <c r="F143" s="52"/>
      <c r="G143" s="52"/>
      <c r="H143" s="40"/>
      <c r="I143" s="40"/>
      <c r="J143" s="53"/>
      <c r="K143" s="40"/>
      <c r="L143" s="54"/>
      <c r="N143" s="22"/>
    </row>
    <row r="144" spans="4:14">
      <c r="D144" s="51"/>
      <c r="E144" s="188" t="s">
        <v>313</v>
      </c>
      <c r="F144" s="40" t="s">
        <v>193</v>
      </c>
      <c r="G144" s="40"/>
      <c r="H144" s="40"/>
      <c r="I144" s="200"/>
      <c r="J144"/>
      <c r="K144" s="200"/>
      <c r="L144" s="54"/>
      <c r="N144" s="22"/>
    </row>
    <row r="145" spans="1:14">
      <c r="D145" s="51"/>
      <c r="E145" s="188" t="s">
        <v>314</v>
      </c>
      <c r="F145" s="40" t="s">
        <v>194</v>
      </c>
      <c r="G145" s="40"/>
      <c r="H145" s="40"/>
      <c r="I145" s="135"/>
      <c r="J145"/>
      <c r="K145" s="135"/>
      <c r="L145" s="137" t="s">
        <v>183</v>
      </c>
      <c r="N145" s="22"/>
    </row>
    <row r="146" spans="1:14">
      <c r="A146" s="36">
        <f>IF('Data collection'!I146="Rear",1,IF('Data collection'!I146="Rear and side",2,0))</f>
        <v>0</v>
      </c>
      <c r="B146" s="36">
        <f>IF('Data collection'!K146="Rear",1,IF('Data collection'!K146="Rear and side",2,0))</f>
        <v>0</v>
      </c>
      <c r="D146" s="51"/>
      <c r="E146" s="188" t="s">
        <v>315</v>
      </c>
      <c r="F146" s="40" t="s">
        <v>195</v>
      </c>
      <c r="G146" s="40"/>
      <c r="H146" s="40"/>
      <c r="I146" s="200"/>
      <c r="J146"/>
      <c r="K146" s="200"/>
      <c r="L146" s="54"/>
      <c r="N146" s="22"/>
    </row>
    <row r="147" spans="1:14">
      <c r="A147"/>
      <c r="B147"/>
      <c r="D147" s="51"/>
      <c r="E147" s="141"/>
      <c r="F147" s="52"/>
      <c r="G147" s="52"/>
      <c r="H147" s="40"/>
      <c r="I147"/>
      <c r="J147"/>
      <c r="K147"/>
      <c r="L147" s="54"/>
      <c r="N147" s="22"/>
    </row>
    <row r="148" spans="1:14">
      <c r="A148"/>
      <c r="B148"/>
      <c r="D148" s="51"/>
      <c r="E148" s="141"/>
      <c r="F148" s="55" t="s">
        <v>200</v>
      </c>
      <c r="G148" s="52"/>
      <c r="H148" s="40"/>
      <c r="I148"/>
      <c r="J148"/>
      <c r="K148"/>
      <c r="L148" s="54"/>
      <c r="N148" s="22"/>
    </row>
    <row r="149" spans="1:14">
      <c r="A149"/>
      <c r="B149"/>
      <c r="D149" s="51"/>
      <c r="E149" s="141"/>
      <c r="F149" s="69" t="s">
        <v>3</v>
      </c>
      <c r="G149" s="69"/>
      <c r="H149" s="40" t="str">
        <f>IF(Measure="MS","mm","inch")</f>
        <v>mm</v>
      </c>
      <c r="I149" s="128" t="str">
        <f>IF(S1_type_return="",Blank,VLOOKUP(S1_type_return,Transport_dim,5,FALSE)/IF(Measure="MS",1,25.4))</f>
        <v/>
      </c>
      <c r="J149"/>
      <c r="K149" s="128" t="str">
        <f>IF(S2_type_return="",Blank,VLOOKUP(S2_type_return,Transport_dim,5,FALSE)/IF(Measure="MS",1,25.4))</f>
        <v/>
      </c>
      <c r="L149" s="54"/>
      <c r="N149" s="22"/>
    </row>
    <row r="150" spans="1:14">
      <c r="A150"/>
      <c r="B150"/>
      <c r="D150" s="51"/>
      <c r="E150" s="141"/>
      <c r="F150" s="69" t="s">
        <v>4</v>
      </c>
      <c r="G150" s="69"/>
      <c r="H150" s="40" t="str">
        <f>IF(Measure="MS","mm","inch")</f>
        <v>mm</v>
      </c>
      <c r="I150" s="128" t="str">
        <f>IF(S1_type_return="",Blank,VLOOKUP(S1_type_return,Transport_dim,6,FALSE)/IF(Measure="MS",1,25.4))</f>
        <v/>
      </c>
      <c r="J150"/>
      <c r="K150" s="128" t="str">
        <f>IF(S2_type_return="",Blank,VLOOKUP(S2_type_return,Transport_dim,6,FALSE)/IF(Measure="MS",1,25.4))</f>
        <v/>
      </c>
      <c r="L150" s="54"/>
      <c r="N150" s="22"/>
    </row>
    <row r="151" spans="1:14">
      <c r="A151"/>
      <c r="B151"/>
      <c r="D151" s="51"/>
      <c r="E151" s="141"/>
      <c r="F151" s="69" t="s">
        <v>5</v>
      </c>
      <c r="G151" s="69"/>
      <c r="H151" s="40" t="str">
        <f>IF(Measure="MS","mm","inch")</f>
        <v>mm</v>
      </c>
      <c r="I151" s="128" t="str">
        <f>IF(S1_type_return="",Blank,VLOOKUP(S1_type_return,Transport_dim,7,FALSE)/IF(Measure="MS",1,25.4))</f>
        <v/>
      </c>
      <c r="J151"/>
      <c r="K151" s="128" t="str">
        <f>IF(S2_type_return="",Blank,VLOOKUP(S2_type_return,Transport_dim,7,FALSE)/IF(Measure="MS",1,25.4))</f>
        <v/>
      </c>
      <c r="L151" s="54"/>
      <c r="N151" s="22"/>
    </row>
    <row r="152" spans="1:14">
      <c r="A152"/>
      <c r="B152"/>
      <c r="D152" s="51"/>
      <c r="E152" s="141"/>
      <c r="F152" s="69" t="s">
        <v>6</v>
      </c>
      <c r="G152" s="69"/>
      <c r="H152" s="40" t="str">
        <f>IF(Measure="MS","m3","cu.foot")</f>
        <v>m3</v>
      </c>
      <c r="I152" s="129" t="str">
        <f>IF(SUM(I149:I151)=0,Blank,IF(Measure="MS",I149*I150*I151/1000/1000/1000,I149*I150*I151/12/12/12))</f>
        <v/>
      </c>
      <c r="J152"/>
      <c r="K152" s="129" t="str">
        <f>IF(SUM(K149:K151)=0,Blank,IF(Measure="MS",K149*K150*K151/1000/1000/1000,K149*K150*K151/12/12/12))</f>
        <v/>
      </c>
      <c r="L152" s="54"/>
      <c r="N152" s="22"/>
    </row>
    <row r="153" spans="1:14">
      <c r="A153"/>
      <c r="B153"/>
      <c r="D153" s="51"/>
      <c r="E153" s="141"/>
      <c r="F153" s="52"/>
      <c r="G153" s="52"/>
      <c r="H153" s="40"/>
      <c r="I153"/>
      <c r="J153"/>
      <c r="K153"/>
      <c r="L153" s="54"/>
      <c r="N153" s="22"/>
    </row>
    <row r="154" spans="1:14">
      <c r="A154"/>
      <c r="B154"/>
      <c r="D154" s="51"/>
      <c r="E154" s="141"/>
      <c r="F154" s="55" t="s">
        <v>201</v>
      </c>
      <c r="G154" s="52"/>
      <c r="H154" s="40"/>
      <c r="I154"/>
      <c r="J154"/>
      <c r="K154"/>
      <c r="L154" s="54"/>
      <c r="N154" s="22"/>
    </row>
    <row r="155" spans="1:14">
      <c r="A155" s="128" t="str">
        <f>IF(VALUE(I155)=0,I149,I155)</f>
        <v/>
      </c>
      <c r="B155" s="128" t="str">
        <f>IF(VALUE(K155)=0,K149,K155)</f>
        <v/>
      </c>
      <c r="D155" s="51"/>
      <c r="E155" s="188" t="s">
        <v>316</v>
      </c>
      <c r="F155" s="69" t="s">
        <v>3</v>
      </c>
      <c r="G155" s="69"/>
      <c r="H155" s="40" t="str">
        <f>IF(Measure="MS","mm","inch")</f>
        <v>mm</v>
      </c>
      <c r="I155" s="16"/>
      <c r="J155"/>
      <c r="K155" s="16"/>
      <c r="L155" s="54"/>
      <c r="N155" s="22"/>
    </row>
    <row r="156" spans="1:14">
      <c r="A156" s="128" t="str">
        <f>IF(VALUE(I156)=0,I150,I156)</f>
        <v/>
      </c>
      <c r="B156" s="128" t="str">
        <f>IF(VALUE(K156)=0,K150,K156)</f>
        <v/>
      </c>
      <c r="D156" s="51"/>
      <c r="E156" s="188" t="s">
        <v>317</v>
      </c>
      <c r="F156" s="69" t="s">
        <v>4</v>
      </c>
      <c r="G156" s="69"/>
      <c r="H156" s="40" t="str">
        <f>IF(Measure="MS","mm","inch")</f>
        <v>mm</v>
      </c>
      <c r="I156" s="16"/>
      <c r="J156"/>
      <c r="K156" s="16"/>
      <c r="L156" s="54"/>
      <c r="N156" s="22"/>
    </row>
    <row r="157" spans="1:14">
      <c r="A157" s="128" t="str">
        <f>IF(VALUE(I157)=0,I151,I157)</f>
        <v/>
      </c>
      <c r="B157" s="128" t="str">
        <f>IF(VALUE(K157)=0,K151,K157)</f>
        <v/>
      </c>
      <c r="D157" s="51"/>
      <c r="E157" s="188" t="s">
        <v>318</v>
      </c>
      <c r="F157" s="69" t="s">
        <v>5</v>
      </c>
      <c r="G157" s="69"/>
      <c r="H157" s="40" t="str">
        <f>IF(Measure="MS","mm","inch")</f>
        <v>mm</v>
      </c>
      <c r="I157" s="16"/>
      <c r="J157"/>
      <c r="K157" s="16"/>
      <c r="L157" s="54"/>
      <c r="N157" s="22"/>
    </row>
    <row r="158" spans="1:14">
      <c r="A158" s="129" t="str">
        <f>IF(OR(A155="",OR(A156="",A157="")),Blank,IF(Measure="MS",A155*A156*A157/1000/1000/1000,A155*A156*A157/12/12/12))</f>
        <v/>
      </c>
      <c r="B158" s="129" t="str">
        <f>IF(OR(B155="",OR(B156="",B157="")),Blank,IF(Measure="MS",B155*B156*B157/1000/1000/1000,B155*B156*B157/12/12/12))</f>
        <v/>
      </c>
      <c r="D158" s="51"/>
      <c r="E158" s="141"/>
      <c r="F158" s="69" t="s">
        <v>6</v>
      </c>
      <c r="G158" s="69"/>
      <c r="H158" s="40" t="str">
        <f>IF(Measure="MS","m3","cu.foot")</f>
        <v>m3</v>
      </c>
      <c r="I158" s="129" t="str">
        <f>IF(I152=A158,Blank,A158)</f>
        <v/>
      </c>
      <c r="J158"/>
      <c r="K158" s="129" t="str">
        <f>IF(K152=B158,Blank,B158)</f>
        <v/>
      </c>
      <c r="L158" s="54"/>
      <c r="N158" s="22"/>
    </row>
    <row r="159" spans="1:14">
      <c r="A159"/>
      <c r="B159"/>
      <c r="D159" s="51"/>
      <c r="E159" s="141"/>
      <c r="F159" s="52"/>
      <c r="G159" s="52"/>
      <c r="H159" s="40"/>
      <c r="I159"/>
      <c r="J159"/>
      <c r="K159"/>
      <c r="L159" s="54"/>
      <c r="N159" s="22"/>
    </row>
    <row r="160" spans="1:14">
      <c r="A160"/>
      <c r="B160"/>
      <c r="D160" s="51"/>
      <c r="E160" s="141"/>
      <c r="F160" s="40" t="s">
        <v>184</v>
      </c>
      <c r="G160" s="52"/>
      <c r="H160" s="93" t="s">
        <v>336</v>
      </c>
      <c r="I160" s="130" t="str">
        <f>IF(OR(S1_box_hand="",S1_return_vol="",S1_return_hand=0,N(S1_box_ch)=0),"",IF(AND(S1_box_hand="2-ways",S1_return_hand=1),S1_return_2w,S1_return_4w))</f>
        <v/>
      </c>
      <c r="J160"/>
      <c r="K160" s="130" t="str">
        <f>IF(OR(S2_box_hand="",S2_return_vol="",S2_return_hand=0,N(S2_box_ch)=0),"",IF(AND(S2_box_hand="2-ways",S2_return_hand=1),S2_return_2w,S2_return_4w))</f>
        <v/>
      </c>
      <c r="L160" s="54"/>
      <c r="N160" s="22"/>
    </row>
    <row r="161" spans="1:14">
      <c r="A161"/>
      <c r="B161"/>
      <c r="D161" s="51"/>
      <c r="E161" s="141"/>
      <c r="F161" s="40" t="s">
        <v>189</v>
      </c>
      <c r="G161" s="52"/>
      <c r="H161" s="40"/>
      <c r="I161"/>
      <c r="J161"/>
      <c r="K161"/>
      <c r="L161" s="54"/>
      <c r="N161" s="22"/>
    </row>
    <row r="162" spans="1:14">
      <c r="A162"/>
      <c r="B162"/>
      <c r="D162" s="51"/>
      <c r="E162" s="141"/>
      <c r="F162" s="40" t="s">
        <v>190</v>
      </c>
      <c r="G162" s="52"/>
      <c r="H162" s="40"/>
      <c r="I162"/>
      <c r="J162"/>
      <c r="K162"/>
      <c r="L162" s="54"/>
      <c r="N162" s="22"/>
    </row>
    <row r="163" spans="1:14">
      <c r="A163"/>
      <c r="B163"/>
      <c r="D163" s="51"/>
      <c r="E163" s="141"/>
      <c r="F163" s="40"/>
      <c r="G163" s="52"/>
      <c r="H163" s="40"/>
      <c r="I163"/>
      <c r="J163"/>
      <c r="K163"/>
      <c r="L163" s="54"/>
      <c r="N163" s="22"/>
    </row>
    <row r="164" spans="1:14">
      <c r="A164" s="128" t="str">
        <f>IF(VALUE('Data collection'!I164)=0,'Data collection'!I160,'Data collection'!I164)</f>
        <v/>
      </c>
      <c r="B164" s="128" t="str">
        <f>IF(VALUE('Data collection'!K164)=0,'Data collection'!K160,'Data collection'!K164)</f>
        <v/>
      </c>
      <c r="D164" s="51"/>
      <c r="E164" s="188" t="s">
        <v>319</v>
      </c>
      <c r="F164" s="93" t="s">
        <v>369</v>
      </c>
      <c r="G164" s="52"/>
      <c r="H164" s="93" t="s">
        <v>336</v>
      </c>
      <c r="I164" s="16"/>
      <c r="J164"/>
      <c r="K164" s="16"/>
      <c r="L164" s="54"/>
      <c r="N164" s="22"/>
    </row>
    <row r="165" spans="1:14">
      <c r="A165"/>
      <c r="B165"/>
      <c r="D165" s="51"/>
      <c r="E165" s="141"/>
      <c r="F165" s="93"/>
      <c r="G165" s="52"/>
      <c r="H165" s="40"/>
      <c r="I165"/>
      <c r="J165"/>
      <c r="K165"/>
      <c r="L165" s="54"/>
      <c r="N165" s="22"/>
    </row>
    <row r="166" spans="1:14">
      <c r="D166" s="51"/>
      <c r="E166" s="141"/>
      <c r="F166" s="218" t="s">
        <v>372</v>
      </c>
      <c r="G166" s="52"/>
      <c r="H166" s="40"/>
      <c r="I166" s="40"/>
      <c r="J166" s="53"/>
      <c r="K166" s="40"/>
      <c r="L166" s="54"/>
      <c r="N166" s="22"/>
    </row>
    <row r="167" spans="1:14">
      <c r="D167" s="51"/>
      <c r="E167" s="141"/>
      <c r="F167" s="218" t="s">
        <v>363</v>
      </c>
      <c r="G167" s="52"/>
      <c r="H167" s="40"/>
      <c r="I167" s="40"/>
      <c r="J167" s="53"/>
      <c r="K167" s="40"/>
      <c r="L167" s="54"/>
      <c r="N167" s="22"/>
    </row>
    <row r="168" spans="1:14">
      <c r="D168" s="51"/>
      <c r="E168" s="141"/>
      <c r="F168" s="218" t="s">
        <v>364</v>
      </c>
      <c r="G168" s="52"/>
      <c r="H168" s="40"/>
      <c r="I168" s="40"/>
      <c r="J168" s="53"/>
      <c r="K168" s="40"/>
      <c r="L168" s="54"/>
      <c r="N168" s="22"/>
    </row>
    <row r="169" spans="1:14">
      <c r="D169" s="51"/>
      <c r="E169" s="141"/>
      <c r="F169" s="218" t="s">
        <v>366</v>
      </c>
      <c r="G169" s="52"/>
      <c r="H169" s="40"/>
      <c r="I169" s="40"/>
      <c r="J169" s="53"/>
      <c r="K169" s="40"/>
      <c r="L169" s="54"/>
      <c r="N169" s="22"/>
    </row>
    <row r="170" spans="1:14">
      <c r="D170" s="51"/>
      <c r="E170" s="141"/>
      <c r="F170" s="218" t="s">
        <v>365</v>
      </c>
      <c r="G170" s="52"/>
      <c r="H170" s="40"/>
      <c r="I170" s="40"/>
      <c r="J170" s="53"/>
      <c r="K170" s="40"/>
      <c r="L170" s="54"/>
      <c r="N170" s="22"/>
    </row>
    <row r="171" spans="1:14">
      <c r="A171"/>
      <c r="B171"/>
      <c r="D171" s="51"/>
      <c r="E171" s="141"/>
      <c r="F171" s="93"/>
      <c r="G171" s="52"/>
      <c r="H171" s="40"/>
      <c r="I171"/>
      <c r="J171"/>
      <c r="K171"/>
      <c r="L171" s="54"/>
      <c r="N171" s="22"/>
    </row>
    <row r="172" spans="1:14">
      <c r="A172"/>
      <c r="B172"/>
      <c r="D172" s="51"/>
      <c r="E172" s="141"/>
      <c r="F172" s="40" t="s">
        <v>137</v>
      </c>
      <c r="G172" s="40"/>
      <c r="H172" s="40" t="str">
        <f>IF(Measure="MS","m3","cu.foot")</f>
        <v>m3</v>
      </c>
      <c r="I172" s="129" t="str">
        <f>IF(OR(S1_stat=0,S1_box_hand="",S1_return_vol="",S1_return_hand=0),Blank,IF(Measure="MS",S1_return_vol-(S1_box_l*S1_box_w*S1_box_ch/1000/1000/1000*S1_box_trans_return),S1_return_vol-(S1_box_l*S1_box_w*S1_box_ch/12/12/12*S1_box_trans_return)))</f>
        <v/>
      </c>
      <c r="J172"/>
      <c r="K172" s="129" t="str">
        <f>IF(OR(S2_stat=0,S2_box_hand="",S2_return_vol="",S2_return_hand=0),Blank,IF(Measure="MS",S2_return_vol-(S2_box_l*S2_box_w*S2_box_ch/1000/1000/1000*S2_box_trans_return),S2_return_vol-(S2_box_l*S2_box_w*S2_box_ch/12/12/12*S2_box_trans_return)))</f>
        <v/>
      </c>
      <c r="L172" s="54"/>
      <c r="N172" s="22"/>
    </row>
    <row r="173" spans="1:14">
      <c r="A173"/>
      <c r="B173"/>
      <c r="D173" s="51"/>
      <c r="E173" s="141"/>
      <c r="F173" s="52"/>
      <c r="G173" s="52"/>
      <c r="H173" s="69" t="s">
        <v>33</v>
      </c>
      <c r="I173" s="131" t="str">
        <f>IF(OR(I172="",S1_return_vol=0),Blank,I172/S1_return_vol)</f>
        <v/>
      </c>
      <c r="J173"/>
      <c r="K173" s="131" t="str">
        <f>IF(OR(K172="",S2_return_vol=0),Blank,K172/S2_return_vol)</f>
        <v/>
      </c>
      <c r="L173" s="54"/>
      <c r="N173" s="22"/>
    </row>
    <row r="174" spans="1:14">
      <c r="A174"/>
      <c r="B174"/>
      <c r="D174" s="51"/>
      <c r="E174" s="141"/>
      <c r="F174" s="52"/>
      <c r="G174" s="52"/>
      <c r="H174" s="40"/>
      <c r="I174"/>
      <c r="J174"/>
      <c r="K174"/>
      <c r="L174" s="54"/>
      <c r="N174" s="22"/>
    </row>
    <row r="175" spans="1:14">
      <c r="A175"/>
      <c r="B175"/>
      <c r="D175" s="51"/>
      <c r="E175" s="141"/>
      <c r="F175" s="40" t="s">
        <v>185</v>
      </c>
      <c r="G175" s="52"/>
      <c r="H175" s="53" t="str">
        <f>IF(Measure="MS","kg","pound")</f>
        <v>kg</v>
      </c>
      <c r="I175" s="97" t="str">
        <f>IF(OR(S1_box_weight="",S1_return_hand=0,S1_box_trans_return=""),Blank,S1_box_weight*S1_box_trans_return)</f>
        <v/>
      </c>
      <c r="J175"/>
      <c r="K175" s="97" t="str">
        <f>IF(OR(S2_box_weight="",S2_return_hand=0,S2_box_trans_return=""),Blank,S2_box_weight*S2_box_trans_return)</f>
        <v/>
      </c>
      <c r="L175" s="54"/>
      <c r="N175" s="22"/>
    </row>
    <row r="176" spans="1:14">
      <c r="D176" s="51"/>
      <c r="E176" s="141"/>
      <c r="F176" s="217" t="str">
        <f>IF(OR(S1_return_weight&lt;&gt;"",S2_return_weight&lt;&gt;""),"Remember to control weight limitations",Blank)</f>
        <v/>
      </c>
      <c r="G176" s="69"/>
      <c r="H176" s="40"/>
      <c r="I176" s="42"/>
      <c r="J176" s="53"/>
      <c r="K176" s="42"/>
      <c r="L176" s="54"/>
      <c r="N176" s="22"/>
    </row>
    <row r="177" spans="4:14">
      <c r="D177" s="51"/>
      <c r="E177" s="141"/>
      <c r="F177" s="69"/>
      <c r="G177" s="69"/>
      <c r="H177" s="40"/>
      <c r="I177" s="42"/>
      <c r="J177" s="53"/>
      <c r="K177" s="42"/>
      <c r="L177" s="54"/>
      <c r="N177" s="22"/>
    </row>
    <row r="178" spans="4:14">
      <c r="D178" s="51"/>
      <c r="E178" s="141"/>
      <c r="F178" s="68" t="s">
        <v>209</v>
      </c>
      <c r="G178" s="69"/>
      <c r="H178" s="40"/>
      <c r="I178" s="42"/>
      <c r="J178" s="53"/>
      <c r="K178" s="42"/>
      <c r="L178" s="54"/>
      <c r="N178" s="22"/>
    </row>
    <row r="179" spans="4:14">
      <c r="D179" s="51"/>
      <c r="E179" s="188" t="s">
        <v>320</v>
      </c>
      <c r="F179" s="93" t="s">
        <v>370</v>
      </c>
      <c r="G179" s="69"/>
      <c r="H179" s="40" t="str">
        <f>IF(Currency=Blank,Blank,Currency)</f>
        <v>EUR</v>
      </c>
      <c r="I179" s="20"/>
      <c r="J179" s="53"/>
      <c r="K179" s="20"/>
      <c r="L179" s="54"/>
      <c r="N179" s="22"/>
    </row>
    <row r="180" spans="4:14">
      <c r="D180" s="51"/>
      <c r="E180" s="188" t="s">
        <v>321</v>
      </c>
      <c r="F180" s="40" t="s">
        <v>148</v>
      </c>
      <c r="G180" s="69"/>
      <c r="H180" s="40" t="str">
        <f>IF(Currency=Blank,Blank,Currency)</f>
        <v>EUR</v>
      </c>
      <c r="I180" s="20"/>
      <c r="J180" s="53"/>
      <c r="K180" s="20"/>
      <c r="L180" s="54"/>
      <c r="N180" s="22"/>
    </row>
    <row r="181" spans="4:14">
      <c r="D181" s="51"/>
      <c r="E181" s="146" t="s">
        <v>218</v>
      </c>
      <c r="F181" s="201"/>
      <c r="G181" s="205"/>
      <c r="H181" s="40" t="str">
        <f>IF(F181="","",Currency)</f>
        <v/>
      </c>
      <c r="I181" s="20"/>
      <c r="J181" s="53"/>
      <c r="K181" s="20"/>
      <c r="L181" s="54"/>
      <c r="N181" s="22"/>
    </row>
    <row r="182" spans="4:14">
      <c r="D182" s="51"/>
      <c r="E182" s="188" t="s">
        <v>322</v>
      </c>
      <c r="F182" s="205"/>
      <c r="G182" s="205"/>
      <c r="H182" s="40" t="str">
        <f>IF(F182="","",Currency)</f>
        <v/>
      </c>
      <c r="I182" s="20"/>
      <c r="J182" s="53"/>
      <c r="K182" s="20"/>
      <c r="L182" s="54"/>
      <c r="N182" s="22"/>
    </row>
    <row r="183" spans="4:14">
      <c r="D183" s="51"/>
      <c r="E183" s="141"/>
      <c r="F183" s="40" t="s">
        <v>198</v>
      </c>
      <c r="G183" s="40"/>
      <c r="H183" s="40" t="str">
        <f>IF(Currency=Blank,Blank,Currency)</f>
        <v>EUR</v>
      </c>
      <c r="I183" s="58">
        <f>SUM(I179:I182)</f>
        <v>0</v>
      </c>
      <c r="J183" s="53"/>
      <c r="K183" s="58">
        <f>SUM(K179:K182)</f>
        <v>0</v>
      </c>
      <c r="L183" s="54"/>
      <c r="N183" s="22"/>
    </row>
    <row r="184" spans="4:14">
      <c r="D184" s="51"/>
      <c r="E184" s="141"/>
      <c r="F184" s="40" t="s">
        <v>96</v>
      </c>
      <c r="G184" s="40"/>
      <c r="H184" s="40" t="str">
        <f>IF(Currency=Blank,Blank,Currency)</f>
        <v>EUR</v>
      </c>
      <c r="I184" s="64" t="str">
        <f>IF(N(S1_box_trans_return)=0,Blank,I183/S1_box_trans_return)</f>
        <v/>
      </c>
      <c r="J184" s="53"/>
      <c r="K184" s="64" t="str">
        <f>IF(N(S2_box_trans_return)=0,Blank,K183/S2_box_trans_return)</f>
        <v/>
      </c>
      <c r="L184" s="54"/>
      <c r="N184" s="22"/>
    </row>
    <row r="185" spans="4:14" ht="13.5" thickBot="1">
      <c r="D185" s="59"/>
      <c r="E185" s="145"/>
      <c r="F185" s="60"/>
      <c r="G185" s="60"/>
      <c r="H185" s="60"/>
      <c r="I185" s="60"/>
      <c r="J185" s="62"/>
      <c r="K185" s="60"/>
      <c r="L185" s="63"/>
      <c r="N185" s="23"/>
    </row>
    <row r="186" spans="4:14">
      <c r="D186" s="47"/>
      <c r="E186" s="144"/>
      <c r="F186" s="48"/>
      <c r="G186" s="48"/>
      <c r="H186" s="48"/>
      <c r="I186" s="48"/>
      <c r="J186" s="49"/>
      <c r="K186" s="48"/>
      <c r="L186" s="50"/>
      <c r="N186" s="24"/>
    </row>
    <row r="187" spans="4:14" ht="12.75" customHeight="1">
      <c r="D187" s="51"/>
      <c r="E187" s="147" t="s">
        <v>219</v>
      </c>
      <c r="F187" s="52" t="s">
        <v>332</v>
      </c>
      <c r="G187" s="52"/>
      <c r="H187" s="40"/>
      <c r="I187" s="40"/>
      <c r="J187" s="53"/>
      <c r="K187" s="40"/>
      <c r="L187" s="54"/>
      <c r="N187" s="22"/>
    </row>
    <row r="188" spans="4:14" ht="12.75" customHeight="1">
      <c r="D188" s="51"/>
      <c r="E188" s="141"/>
      <c r="F188" s="52"/>
      <c r="G188" s="52"/>
      <c r="H188" s="40"/>
      <c r="I188" s="40"/>
      <c r="J188" s="53"/>
      <c r="K188" s="40"/>
      <c r="L188" s="54"/>
      <c r="N188" s="22"/>
    </row>
    <row r="189" spans="4:14" ht="12.75" customHeight="1">
      <c r="D189" s="51"/>
      <c r="E189" s="141"/>
      <c r="F189" s="68" t="s">
        <v>335</v>
      </c>
      <c r="G189" s="52"/>
      <c r="H189" s="40"/>
      <c r="I189" s="40"/>
      <c r="J189" s="53"/>
      <c r="K189" s="40"/>
      <c r="L189" s="54"/>
      <c r="N189" s="22"/>
    </row>
    <row r="190" spans="4:14" ht="12.75" customHeight="1">
      <c r="D190" s="51"/>
      <c r="E190" s="141"/>
      <c r="F190" s="52"/>
      <c r="G190" s="52"/>
      <c r="H190" s="40"/>
      <c r="I190" s="40"/>
      <c r="J190" s="53"/>
      <c r="K190" s="40"/>
      <c r="L190" s="54"/>
      <c r="N190" s="22"/>
    </row>
    <row r="191" spans="4:14" ht="12.75" customHeight="1">
      <c r="D191" s="51"/>
      <c r="E191" s="141"/>
      <c r="F191" s="55" t="s">
        <v>174</v>
      </c>
      <c r="G191" s="52"/>
      <c r="H191" s="40"/>
      <c r="I191" s="40"/>
      <c r="J191" s="53"/>
      <c r="K191" s="40"/>
      <c r="L191" s="54"/>
      <c r="N191" s="22"/>
    </row>
    <row r="192" spans="4:14" ht="12.75" customHeight="1">
      <c r="D192" s="51"/>
      <c r="E192" s="141"/>
      <c r="F192" s="55" t="s">
        <v>173</v>
      </c>
      <c r="G192" s="52"/>
      <c r="H192" s="40"/>
      <c r="I192" s="40"/>
      <c r="J192" s="53"/>
      <c r="K192" s="40"/>
      <c r="L192" s="54"/>
      <c r="N192" s="22"/>
    </row>
    <row r="193" spans="1:14">
      <c r="D193" s="51"/>
      <c r="E193" s="141"/>
      <c r="F193" s="40"/>
      <c r="G193" s="40"/>
      <c r="H193" s="40"/>
      <c r="I193" s="71"/>
      <c r="J193" s="53"/>
      <c r="K193" s="71"/>
      <c r="L193" s="54"/>
      <c r="N193" s="22"/>
    </row>
    <row r="194" spans="1:14">
      <c r="D194" s="51"/>
      <c r="E194" s="188" t="s">
        <v>323</v>
      </c>
      <c r="F194" s="40" t="s">
        <v>117</v>
      </c>
      <c r="G194" s="40"/>
      <c r="H194" s="40" t="s">
        <v>35</v>
      </c>
      <c r="I194" s="17"/>
      <c r="J194" s="53"/>
      <c r="K194" s="17"/>
      <c r="L194" s="54"/>
      <c r="N194" s="22"/>
    </row>
    <row r="195" spans="1:14">
      <c r="D195" s="51"/>
      <c r="E195" s="188" t="s">
        <v>324</v>
      </c>
      <c r="F195" s="40" t="s">
        <v>36</v>
      </c>
      <c r="G195" s="40"/>
      <c r="H195" s="40" t="s">
        <v>35</v>
      </c>
      <c r="I195" s="17"/>
      <c r="J195" s="53"/>
      <c r="K195" s="17"/>
      <c r="L195" s="54"/>
      <c r="N195" s="22"/>
    </row>
    <row r="196" spans="1:14">
      <c r="D196" s="51"/>
      <c r="E196" s="188" t="s">
        <v>325</v>
      </c>
      <c r="F196" s="40" t="s">
        <v>118</v>
      </c>
      <c r="G196" s="40"/>
      <c r="H196" s="40" t="s">
        <v>35</v>
      </c>
      <c r="I196" s="17"/>
      <c r="J196" s="53"/>
      <c r="K196" s="17"/>
      <c r="L196" s="54"/>
      <c r="N196" s="22"/>
    </row>
    <row r="197" spans="1:14">
      <c r="D197" s="51"/>
      <c r="E197" s="188" t="s">
        <v>326</v>
      </c>
      <c r="F197" s="40" t="s">
        <v>34</v>
      </c>
      <c r="G197" s="40"/>
      <c r="H197" s="40" t="s">
        <v>35</v>
      </c>
      <c r="I197" s="17"/>
      <c r="J197" s="53"/>
      <c r="K197" s="17"/>
      <c r="L197" s="54"/>
      <c r="N197" s="22"/>
    </row>
    <row r="198" spans="1:14">
      <c r="D198" s="51"/>
      <c r="E198" s="141"/>
      <c r="F198" s="40" t="s">
        <v>100</v>
      </c>
      <c r="G198" s="40"/>
      <c r="H198" s="40" t="s">
        <v>35</v>
      </c>
      <c r="I198" s="70" t="str">
        <f>IF(S1_stat=1,IF(AND(N(I194)&gt;0,N(I195)&gt;0,N(I196)&gt;0,N(I197)&gt;0),SUM(I194:I197),"Missing"),Blank)</f>
        <v/>
      </c>
      <c r="J198" s="53"/>
      <c r="K198" s="70" t="str">
        <f>IF(S2_stat=1,IF(AND(N(K194)&gt;0,N(K195)&gt;0,N(K196)&gt;0,N(K197)&gt;0),SUM(K194:K197),"Missing"),Blank)</f>
        <v/>
      </c>
      <c r="L198" s="54"/>
      <c r="N198" s="22"/>
    </row>
    <row r="199" spans="1:14" ht="12.75" customHeight="1">
      <c r="D199" s="51"/>
      <c r="E199" s="141"/>
      <c r="F199" s="140"/>
      <c r="G199" s="52"/>
      <c r="H199" s="40"/>
      <c r="I199" s="40"/>
      <c r="J199" s="53"/>
      <c r="K199" s="40"/>
      <c r="L199" s="54"/>
      <c r="N199" s="22"/>
    </row>
    <row r="200" spans="1:14" ht="12.75" customHeight="1">
      <c r="A200" s="97">
        <f>IF(N(I200)=0,0,I200)</f>
        <v>0</v>
      </c>
      <c r="B200" s="97">
        <f>IF(N(K200)=0,0,K200)</f>
        <v>0</v>
      </c>
      <c r="D200" s="51"/>
      <c r="E200" s="188" t="s">
        <v>327</v>
      </c>
      <c r="F200" s="93" t="s">
        <v>343</v>
      </c>
      <c r="G200" s="52"/>
      <c r="H200" s="40" t="s">
        <v>220</v>
      </c>
      <c r="I200" s="219" t="s">
        <v>373</v>
      </c>
      <c r="J200" s="53"/>
      <c r="K200" s="219" t="s">
        <v>373</v>
      </c>
      <c r="L200" s="54"/>
      <c r="N200" s="22"/>
    </row>
    <row r="201" spans="1:14" ht="12.75" customHeight="1">
      <c r="D201" s="51"/>
      <c r="F201" s="93" t="s">
        <v>344</v>
      </c>
      <c r="G201" s="52"/>
      <c r="L201" s="54"/>
      <c r="N201" s="22"/>
    </row>
    <row r="202" spans="1:14" ht="12.75" customHeight="1">
      <c r="D202" s="51"/>
      <c r="F202" s="93" t="s">
        <v>345</v>
      </c>
      <c r="G202" s="52"/>
      <c r="L202" s="54"/>
      <c r="N202" s="22"/>
    </row>
    <row r="203" spans="1:14" ht="12.75" customHeight="1">
      <c r="D203" s="51"/>
      <c r="F203" s="93"/>
      <c r="G203" s="52"/>
      <c r="L203" s="54"/>
      <c r="N203" s="22"/>
    </row>
    <row r="204" spans="1:14">
      <c r="D204" s="51"/>
      <c r="E204" s="141"/>
      <c r="F204" s="68" t="s">
        <v>333</v>
      </c>
      <c r="G204" s="40"/>
      <c r="H204" s="40"/>
      <c r="I204" s="71"/>
      <c r="J204" s="53"/>
      <c r="K204" s="71"/>
      <c r="L204" s="54"/>
      <c r="N204" s="22"/>
    </row>
    <row r="205" spans="1:14">
      <c r="D205" s="51"/>
      <c r="E205" s="141"/>
      <c r="F205" s="40"/>
      <c r="G205" s="40"/>
      <c r="H205" s="40"/>
      <c r="I205" s="72"/>
      <c r="J205" s="53"/>
      <c r="K205" s="72"/>
      <c r="L205" s="54"/>
      <c r="N205" s="22"/>
    </row>
    <row r="206" spans="1:14">
      <c r="D206" s="51"/>
      <c r="E206" s="141"/>
      <c r="F206" s="93" t="s">
        <v>340</v>
      </c>
      <c r="G206" s="40"/>
      <c r="H206" s="93" t="s">
        <v>336</v>
      </c>
      <c r="I206" s="72" t="str">
        <f>IF(N(I198)=0,Blank,Days_year/S1_time_total)</f>
        <v/>
      </c>
      <c r="J206" s="53"/>
      <c r="K206" s="72" t="str">
        <f>IF(N(K198)=0,Blank,Days_year/S2_time_total)</f>
        <v/>
      </c>
      <c r="L206" s="54"/>
      <c r="N206" s="22"/>
    </row>
    <row r="207" spans="1:14">
      <c r="D207" s="51"/>
      <c r="E207" s="141"/>
      <c r="F207" s="93" t="s">
        <v>339</v>
      </c>
      <c r="G207" s="40"/>
      <c r="H207" s="40"/>
      <c r="I207" s="72"/>
      <c r="J207" s="53"/>
      <c r="K207" s="72"/>
      <c r="L207" s="54"/>
      <c r="N207" s="22"/>
    </row>
    <row r="208" spans="1:14">
      <c r="D208" s="51"/>
      <c r="E208" s="141"/>
      <c r="F208" s="40"/>
      <c r="G208" s="40"/>
      <c r="H208" s="40"/>
      <c r="I208" s="72"/>
      <c r="J208" s="53"/>
      <c r="K208" s="72"/>
      <c r="L208" s="54"/>
      <c r="N208" s="22"/>
    </row>
    <row r="209" spans="4:14">
      <c r="D209" s="51"/>
      <c r="E209" s="141"/>
      <c r="F209" s="93" t="s">
        <v>349</v>
      </c>
      <c r="G209" s="40"/>
      <c r="H209" s="40"/>
      <c r="J209" s="36"/>
      <c r="L209" s="54"/>
      <c r="N209" s="22"/>
    </row>
    <row r="210" spans="4:14">
      <c r="D210" s="51"/>
      <c r="E210" s="141"/>
      <c r="F210" s="93" t="s">
        <v>353</v>
      </c>
      <c r="H210" s="40"/>
      <c r="I210" s="72"/>
      <c r="J210" s="53"/>
      <c r="K210" s="72"/>
      <c r="L210" s="54"/>
      <c r="N210" s="22"/>
    </row>
    <row r="211" spans="4:14">
      <c r="D211" s="51"/>
      <c r="E211" s="141"/>
      <c r="F211" s="93" t="s">
        <v>354</v>
      </c>
      <c r="G211" s="40"/>
      <c r="H211" s="40"/>
      <c r="I211" s="72"/>
      <c r="J211" s="53"/>
      <c r="K211" s="72"/>
      <c r="L211" s="54"/>
      <c r="N211" s="22"/>
    </row>
    <row r="212" spans="4:14">
      <c r="D212" s="51"/>
      <c r="E212" s="141"/>
      <c r="F212" s="40"/>
      <c r="G212" s="40"/>
      <c r="H212" s="40"/>
      <c r="I212" s="72"/>
      <c r="J212" s="53"/>
      <c r="K212" s="72"/>
      <c r="L212" s="54"/>
      <c r="N212" s="22"/>
    </row>
    <row r="213" spans="4:14">
      <c r="D213" s="51"/>
      <c r="E213" s="141"/>
      <c r="F213" s="93" t="s">
        <v>337</v>
      </c>
      <c r="G213" s="40"/>
      <c r="H213" s="40"/>
      <c r="I213" s="72"/>
      <c r="J213" s="53"/>
      <c r="K213" s="72"/>
      <c r="L213" s="54"/>
      <c r="N213" s="22"/>
    </row>
    <row r="214" spans="4:14">
      <c r="D214" s="51"/>
      <c r="E214" s="141"/>
      <c r="F214" s="93" t="s">
        <v>338</v>
      </c>
      <c r="G214" s="40"/>
      <c r="H214" s="40"/>
      <c r="I214" s="72"/>
      <c r="J214" s="53"/>
      <c r="K214" s="72"/>
      <c r="L214" s="54"/>
      <c r="N214" s="22"/>
    </row>
    <row r="215" spans="4:14">
      <c r="D215" s="51"/>
      <c r="E215" s="141"/>
      <c r="F215" s="198" t="s">
        <v>346</v>
      </c>
      <c r="G215" s="40"/>
      <c r="H215" s="40"/>
      <c r="I215" s="72"/>
      <c r="J215" s="53"/>
      <c r="K215" s="72"/>
      <c r="L215" s="54"/>
      <c r="N215" s="22"/>
    </row>
    <row r="216" spans="4:14">
      <c r="D216" s="51"/>
      <c r="E216" s="141"/>
      <c r="F216" s="198" t="s">
        <v>347</v>
      </c>
      <c r="G216" s="40"/>
      <c r="H216" s="40"/>
      <c r="I216" s="72"/>
      <c r="J216" s="53"/>
      <c r="K216" s="72"/>
      <c r="L216" s="54"/>
      <c r="N216" s="22"/>
    </row>
    <row r="217" spans="4:14">
      <c r="D217" s="51"/>
      <c r="E217" s="141"/>
      <c r="G217" s="40"/>
      <c r="H217" s="40"/>
      <c r="I217" s="72"/>
      <c r="J217" s="53"/>
      <c r="K217" s="72"/>
      <c r="L217" s="54"/>
      <c r="N217" s="22"/>
    </row>
    <row r="218" spans="4:14">
      <c r="D218" s="51"/>
      <c r="E218" s="141"/>
      <c r="F218" s="93" t="s">
        <v>359</v>
      </c>
      <c r="G218" s="40"/>
      <c r="H218" s="93" t="s">
        <v>336</v>
      </c>
      <c r="I218" s="72" t="str">
        <f>IF(N(S1_time_total)=0,Blank,Days_year/S1_time_hand)</f>
        <v/>
      </c>
      <c r="J218" s="53"/>
      <c r="K218" s="72" t="str">
        <f>IF(N(S2_time_total)=0,Blank,Days_year/S2_time_hand)</f>
        <v/>
      </c>
      <c r="L218" s="54"/>
      <c r="N218" s="22"/>
    </row>
    <row r="219" spans="4:14">
      <c r="D219" s="51"/>
      <c r="E219" s="141"/>
      <c r="F219" s="93" t="s">
        <v>367</v>
      </c>
      <c r="G219" s="40"/>
      <c r="H219" s="40"/>
      <c r="I219" s="72"/>
      <c r="J219" s="53"/>
      <c r="K219" s="72"/>
      <c r="L219" s="54"/>
      <c r="N219" s="22"/>
    </row>
    <row r="220" spans="4:14">
      <c r="D220" s="51"/>
      <c r="E220" s="141"/>
      <c r="F220" s="40"/>
      <c r="G220" s="40"/>
      <c r="H220" s="40"/>
      <c r="J220" s="36"/>
      <c r="L220" s="54"/>
      <c r="N220" s="22"/>
    </row>
    <row r="221" spans="4:14">
      <c r="D221" s="51"/>
      <c r="E221" s="141"/>
      <c r="F221" s="93" t="s">
        <v>350</v>
      </c>
      <c r="G221" s="40"/>
      <c r="H221" s="40"/>
      <c r="I221" s="72"/>
      <c r="J221" s="53"/>
      <c r="K221" s="72"/>
      <c r="L221" s="54"/>
      <c r="N221" s="22"/>
    </row>
    <row r="222" spans="4:14">
      <c r="D222" s="51"/>
      <c r="E222" s="141"/>
      <c r="F222" s="93" t="s">
        <v>352</v>
      </c>
      <c r="G222" s="40"/>
      <c r="H222" s="40"/>
      <c r="I222" s="72"/>
      <c r="J222" s="53"/>
      <c r="K222" s="72"/>
      <c r="L222" s="54"/>
      <c r="N222" s="22"/>
    </row>
    <row r="223" spans="4:14">
      <c r="D223" s="51"/>
      <c r="E223" s="141"/>
      <c r="F223" s="198" t="s">
        <v>351</v>
      </c>
      <c r="G223" s="40"/>
      <c r="H223" s="40"/>
      <c r="I223" s="72"/>
      <c r="J223" s="53"/>
      <c r="K223" s="72"/>
      <c r="L223" s="54"/>
      <c r="N223" s="22"/>
    </row>
    <row r="224" spans="4:14">
      <c r="D224" s="51"/>
      <c r="E224" s="141"/>
      <c r="G224" s="40"/>
      <c r="H224" s="40"/>
      <c r="I224" s="72"/>
      <c r="J224" s="53"/>
      <c r="K224" s="72"/>
      <c r="L224" s="54"/>
      <c r="N224" s="22"/>
    </row>
    <row r="225" spans="1:14">
      <c r="D225" s="51"/>
      <c r="E225" s="141"/>
      <c r="F225" s="93" t="s">
        <v>337</v>
      </c>
      <c r="G225" s="40"/>
      <c r="H225" s="40"/>
      <c r="I225" s="72"/>
      <c r="J225" s="53"/>
      <c r="K225" s="72"/>
      <c r="L225" s="54"/>
      <c r="N225" s="22"/>
    </row>
    <row r="226" spans="1:14">
      <c r="D226" s="51"/>
      <c r="E226" s="141"/>
      <c r="F226" s="93" t="s">
        <v>341</v>
      </c>
      <c r="G226" s="40"/>
      <c r="H226" s="40"/>
      <c r="I226" s="72"/>
      <c r="J226" s="53"/>
      <c r="K226" s="72"/>
      <c r="L226" s="54"/>
      <c r="N226" s="22"/>
    </row>
    <row r="227" spans="1:14">
      <c r="D227" s="51"/>
      <c r="E227" s="141"/>
      <c r="F227" s="198" t="s">
        <v>348</v>
      </c>
      <c r="G227" s="40"/>
      <c r="H227" s="40"/>
      <c r="I227" s="72"/>
      <c r="J227" s="53"/>
      <c r="K227" s="72"/>
      <c r="L227" s="54"/>
      <c r="N227" s="22"/>
    </row>
    <row r="228" spans="1:14">
      <c r="D228" s="51"/>
      <c r="E228" s="141"/>
      <c r="F228" s="198" t="s">
        <v>342</v>
      </c>
      <c r="G228" s="40"/>
      <c r="H228" s="40"/>
      <c r="I228" s="72"/>
      <c r="J228" s="53"/>
      <c r="K228" s="72"/>
      <c r="L228" s="54"/>
      <c r="N228" s="22"/>
    </row>
    <row r="229" spans="1:14">
      <c r="D229" s="51"/>
      <c r="E229" s="141"/>
      <c r="F229" s="40"/>
      <c r="G229" s="40"/>
      <c r="H229" s="40"/>
      <c r="I229" s="72"/>
      <c r="J229" s="53"/>
      <c r="K229" s="72"/>
      <c r="L229" s="54"/>
      <c r="N229" s="22"/>
    </row>
    <row r="230" spans="1:14">
      <c r="A230" s="35">
        <f>IF(I230="Awaiting",1,IF(I230="Continuously",2,0))</f>
        <v>2</v>
      </c>
      <c r="B230" s="35">
        <f>IF(K230="Awaiting",1,IF(K230="Continuously",2,0))</f>
        <v>2</v>
      </c>
      <c r="D230" s="51"/>
      <c r="E230" s="188" t="s">
        <v>328</v>
      </c>
      <c r="F230" s="93" t="s">
        <v>334</v>
      </c>
      <c r="G230" s="40"/>
      <c r="H230" s="40"/>
      <c r="I230" s="17" t="s">
        <v>356</v>
      </c>
      <c r="J230" s="53"/>
      <c r="K230" s="17" t="s">
        <v>356</v>
      </c>
      <c r="L230" s="54"/>
      <c r="N230" s="22"/>
    </row>
    <row r="231" spans="1:14">
      <c r="A231"/>
      <c r="B231"/>
      <c r="D231" s="51"/>
      <c r="E231" s="141"/>
      <c r="F231" s="93" t="s">
        <v>357</v>
      </c>
      <c r="G231" s="40"/>
      <c r="H231" s="40"/>
      <c r="J231" s="53"/>
      <c r="K231" s="35"/>
      <c r="L231" s="54"/>
      <c r="N231" s="22"/>
    </row>
    <row r="232" spans="1:14" ht="13.5" thickBot="1">
      <c r="D232" s="59"/>
      <c r="E232" s="145"/>
      <c r="F232" s="60"/>
      <c r="G232" s="60"/>
      <c r="H232" s="60"/>
      <c r="I232" s="73"/>
      <c r="J232" s="62"/>
      <c r="K232" s="73"/>
      <c r="L232" s="63"/>
      <c r="N232" s="23"/>
    </row>
  </sheetData>
  <sheetProtection password="C861" sheet="1" objects="1" scenarios="1"/>
  <mergeCells count="14">
    <mergeCell ref="F182:G182"/>
    <mergeCell ref="F181:G181"/>
    <mergeCell ref="F62:G62"/>
    <mergeCell ref="F61:G61"/>
    <mergeCell ref="F79:G79"/>
    <mergeCell ref="F78:G78"/>
    <mergeCell ref="F137:G137"/>
    <mergeCell ref="F136:G136"/>
    <mergeCell ref="I32:K32"/>
    <mergeCell ref="I13:K13"/>
    <mergeCell ref="I14:K14"/>
    <mergeCell ref="I17:K17"/>
    <mergeCell ref="I22:I25"/>
    <mergeCell ref="K22:K25"/>
  </mergeCells>
  <phoneticPr fontId="2" type="noConversion"/>
  <conditionalFormatting sqref="I230 I47 I194:I197 I144:I146 I155:I157 I179:I182 I164 I92">
    <cfRule type="expression" dxfId="6" priority="36">
      <formula>S1_stat=2</formula>
    </cfRule>
  </conditionalFormatting>
  <conditionalFormatting sqref="K230 K47 K194:K197 K144:K146 K155:K157 K179:K182 K164 K92">
    <cfRule type="expression" dxfId="5" priority="35">
      <formula>S2_stat=2</formula>
    </cfRule>
  </conditionalFormatting>
  <conditionalFormatting sqref="I127 K127 I158 K158 I172 K172 I152 K152 A158:B158 I45 I107 K107 K45 A113:B113">
    <cfRule type="expression" dxfId="4" priority="20">
      <formula>Measure&lt;&gt;"MS"</formula>
    </cfRule>
  </conditionalFormatting>
  <conditionalFormatting sqref="I65">
    <cfRule type="expression" dxfId="3" priority="2">
      <formula>S1_stat=2</formula>
    </cfRule>
  </conditionalFormatting>
  <conditionalFormatting sqref="K65">
    <cfRule type="expression" dxfId="2" priority="1">
      <formula>S2_stat=2</formula>
    </cfRule>
  </conditionalFormatting>
  <dataValidations count="9">
    <dataValidation type="list" allowBlank="1" showInputMessage="1" showErrorMessage="1" sqref="I230 K230">
      <formula1>"Awaiting,Continuously"</formula1>
    </dataValidation>
    <dataValidation type="custom" allowBlank="1" showInputMessage="1" showErrorMessage="1" sqref="K87 I179:I182 K179:K182 I134:I137 K134:K137 I194:I197 K194:K197 I87 K65 K59:K62 I65 I59:I62 I92 K92 I72 I70 K76:K79 K72 I76:I79 I85">
      <formula1>VALUE(I59)&gt;=0</formula1>
    </dataValidation>
    <dataValidation type="list" allowBlank="1" showInputMessage="1" showErrorMessage="1" sqref="I144 K144 K99 I99">
      <formula1>"Container,Trailer,Flatbed"</formula1>
    </dataValidation>
    <dataValidation type="list" allowBlank="1" showInputMessage="1" showErrorMessage="1" sqref="I146 K146 K101 I101">
      <formula1>"Rear,Rear and side"</formula1>
    </dataValidation>
    <dataValidation type="list" allowBlank="1" showInputMessage="1" showErrorMessage="1" sqref="K145 I145 K100 I100">
      <formula1>INDEX(Transport_dim,,1)</formula1>
    </dataValidation>
    <dataValidation type="list" allowBlank="1" showInputMessage="1" showErrorMessage="1" sqref="K20 I20">
      <formula1>"Reusable,One-way"</formula1>
    </dataValidation>
    <dataValidation type="list" allowBlank="1" showInputMessage="1" showErrorMessage="1" sqref="I19 K19">
      <formula1>"Clip-Lok,Existing,Alternative"</formula1>
    </dataValidation>
    <dataValidation type="list" allowBlank="1" showInputMessage="1" showErrorMessage="1" sqref="I36">
      <formula1>"360,365"</formula1>
    </dataValidation>
    <dataValidation type="list" allowBlank="1" showInputMessage="1" showErrorMessage="1" sqref="I54 K54">
      <formula1>"2-ways,4-ways"</formula1>
    </dataValidation>
  </dataValidations>
  <pageMargins left="0.74803149606299213" right="0.31496062992125984" top="0.59055118110236227" bottom="0.62992125984251968" header="0.39370078740157483" footer="0.39370078740157483"/>
  <pageSetup paperSize="9" orientation="portrait" useFirstPageNumber="1" verticalDpi="1200" r:id="rId1"/>
  <headerFooter alignWithMargins="0">
    <oddFooter>&amp;CPage &amp;P of 8</oddFooter>
  </headerFooter>
  <rowBreaks count="5" manualBreakCount="5">
    <brk id="37" max="16383" man="1"/>
    <brk id="66" max="16383" man="1"/>
    <brk id="95" max="16383" man="1"/>
    <brk id="140" max="16383" man="1"/>
    <brk id="1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05"/>
  <sheetViews>
    <sheetView showGridLines="0" showRowColHeaders="0" workbookViewId="0">
      <pane ySplit="9" topLeftCell="A10" activePane="bottomLeft" state="frozen"/>
      <selection activeCell="C1" sqref="C1"/>
      <selection pane="bottomLeft" activeCell="I13" sqref="I13"/>
    </sheetView>
  </sheetViews>
  <sheetFormatPr defaultRowHeight="12.75"/>
  <cols>
    <col min="1" max="2" width="9.140625" style="36" hidden="1" customWidth="1"/>
    <col min="3" max="3" width="10.7109375" style="36" customWidth="1"/>
    <col min="4" max="4" width="1.7109375" style="36" customWidth="1"/>
    <col min="5" max="5" width="11.85546875" style="36" customWidth="1"/>
    <col min="6" max="6" width="17.7109375" style="36" customWidth="1"/>
    <col min="7" max="7" width="5.85546875" style="36" customWidth="1"/>
    <col min="8" max="8" width="1.7109375" style="36" customWidth="1"/>
    <col min="9" max="9" width="10.7109375" style="36" customWidth="1"/>
    <col min="10" max="10" width="1.7109375" style="36" customWidth="1"/>
    <col min="11" max="11" width="10.7109375" style="36" customWidth="1"/>
    <col min="12" max="12" width="1.7109375" style="36" customWidth="1"/>
    <col min="13" max="13" width="10.7109375" style="36" customWidth="1"/>
    <col min="14" max="14" width="1.7109375" style="36" customWidth="1"/>
    <col min="15" max="15" width="10.7109375" style="36" customWidth="1"/>
    <col min="16" max="16" width="1.7109375" style="36" customWidth="1"/>
    <col min="17" max="17" width="10.7109375" style="36" customWidth="1"/>
    <col min="18" max="18" width="1.7109375" style="36" customWidth="1"/>
    <col min="19" max="19" width="2.7109375" style="36" customWidth="1"/>
    <col min="20" max="20" width="25.7109375" style="36" customWidth="1"/>
    <col min="21" max="16384" width="9.140625" style="36"/>
  </cols>
  <sheetData>
    <row r="1" spans="1:20">
      <c r="A1" s="108" t="s">
        <v>92</v>
      </c>
      <c r="B1" s="36" t="s">
        <v>79</v>
      </c>
    </row>
    <row r="2" spans="1:20" ht="12.75" customHeight="1">
      <c r="D2" s="37" t="s">
        <v>77</v>
      </c>
      <c r="F2" s="37"/>
    </row>
    <row r="3" spans="1:20" ht="12.75" customHeight="1">
      <c r="D3" s="37"/>
      <c r="F3" s="37"/>
      <c r="R3" s="38" t="str">
        <f>IF(CL_name="",Blank,CL_name)</f>
        <v>Clip-Lok International Ltd.</v>
      </c>
    </row>
    <row r="4" spans="1:20" ht="12.75" customHeight="1">
      <c r="D4" s="36" t="s">
        <v>69</v>
      </c>
      <c r="F4" s="39" t="str">
        <f>IF(ISBLANK(Cust_name),"",Cust_name)</f>
        <v/>
      </c>
      <c r="R4" s="38" t="str">
        <f>IF(CL_address1="",Blank,CL_address1)</f>
        <v>Solvang 25</v>
      </c>
    </row>
    <row r="5" spans="1:20" ht="12.75" customHeight="1">
      <c r="D5" s="36" t="s">
        <v>68</v>
      </c>
      <c r="F5" s="39" t="str">
        <f>IF(ISBLANK(Cust_project),"",Cust_project)</f>
        <v/>
      </c>
      <c r="R5" s="38" t="str">
        <f>IF(CL_zip&amp;CL_town&amp;CL_country=Blank,Blank,IF(CL_address2="",CL_zip&amp;" "&amp;CL_town&amp;", "&amp;CL_country,CL_address2))</f>
        <v>3450 Alleroed, Denmark</v>
      </c>
    </row>
    <row r="6" spans="1:20" ht="12.75" customHeight="1">
      <c r="D6" s="36" t="s">
        <v>70</v>
      </c>
      <c r="F6" s="39" t="str">
        <f>IF(ISBLANK(Study_ver),"",Study_ver)</f>
        <v/>
      </c>
      <c r="R6" s="38" t="str">
        <f>IF(CL_address2="",IF(CL_contact="",Blank,"Contact: "&amp;CL_contact),CL_zip&amp;" "&amp;CL_town&amp;", "&amp;CL_country)</f>
        <v/>
      </c>
    </row>
    <row r="7" spans="1:20" ht="12.75" customHeight="1">
      <c r="D7" s="40" t="s">
        <v>71</v>
      </c>
      <c r="F7" s="206" t="str">
        <f>IF(ISBLANK(Study_date),"",Study_date)</f>
        <v/>
      </c>
      <c r="G7" s="206"/>
      <c r="H7" s="206"/>
      <c r="I7" s="206"/>
      <c r="J7" s="75"/>
      <c r="L7" s="40"/>
      <c r="M7" s="40"/>
      <c r="N7" s="40"/>
      <c r="O7" s="40"/>
      <c r="P7" s="40"/>
      <c r="R7" s="42" t="str">
        <f>IF(CL_address2="",Blank,IF(CL_contact="",Blank,"Contact: "&amp;CL_contact))</f>
        <v/>
      </c>
    </row>
    <row r="8" spans="1:20" ht="13.5" thickBot="1"/>
    <row r="9" spans="1:20" ht="20.100000000000001" customHeight="1" thickBot="1">
      <c r="D9" s="43"/>
      <c r="E9" s="44"/>
      <c r="F9" s="44"/>
      <c r="G9" s="44"/>
      <c r="H9" s="44"/>
      <c r="I9" s="148" t="s">
        <v>47</v>
      </c>
      <c r="J9" s="148"/>
      <c r="K9" s="148" t="s">
        <v>48</v>
      </c>
      <c r="L9" s="148"/>
      <c r="M9" s="148" t="s">
        <v>49</v>
      </c>
      <c r="N9" s="148"/>
      <c r="O9" s="148" t="s">
        <v>50</v>
      </c>
      <c r="P9" s="148"/>
      <c r="Q9" s="148" t="s">
        <v>51</v>
      </c>
      <c r="R9" s="149"/>
      <c r="T9" s="46" t="s">
        <v>78</v>
      </c>
    </row>
    <row r="10" spans="1:20">
      <c r="D10" s="47"/>
      <c r="E10" s="48"/>
      <c r="F10" s="48"/>
      <c r="G10" s="48"/>
      <c r="H10" s="48"/>
      <c r="I10" s="150"/>
      <c r="J10" s="150"/>
      <c r="K10" s="150"/>
      <c r="L10" s="150"/>
      <c r="M10" s="150"/>
      <c r="N10" s="150"/>
      <c r="O10" s="150"/>
      <c r="P10" s="150"/>
      <c r="Q10" s="150"/>
      <c r="R10" s="151"/>
      <c r="T10" s="24"/>
    </row>
    <row r="11" spans="1:20" ht="15.75">
      <c r="D11" s="51"/>
      <c r="E11" s="79" t="s">
        <v>140</v>
      </c>
      <c r="F11" s="40"/>
      <c r="G11" s="40"/>
      <c r="H11" s="40"/>
      <c r="I11" s="120"/>
      <c r="J11" s="120"/>
      <c r="K11" s="120"/>
      <c r="L11" s="120"/>
      <c r="M11" s="120"/>
      <c r="N11" s="120"/>
      <c r="O11" s="120"/>
      <c r="P11" s="120"/>
      <c r="Q11" s="120"/>
      <c r="R11" s="66"/>
      <c r="T11" s="22"/>
    </row>
    <row r="12" spans="1:20" ht="12.75" customHeight="1">
      <c r="D12" s="51"/>
      <c r="E12" s="79"/>
      <c r="F12" s="40"/>
      <c r="G12" s="40"/>
      <c r="H12" s="40"/>
      <c r="I12" s="120"/>
      <c r="J12" s="120"/>
      <c r="K12" s="120"/>
      <c r="L12" s="120"/>
      <c r="M12" s="120"/>
      <c r="N12" s="120"/>
      <c r="O12" s="120"/>
      <c r="P12" s="120"/>
      <c r="Q12" s="120"/>
      <c r="R12" s="66"/>
      <c r="T12" s="22"/>
    </row>
    <row r="13" spans="1:20">
      <c r="D13" s="51"/>
      <c r="E13" s="40" t="s">
        <v>156</v>
      </c>
      <c r="F13" s="40"/>
      <c r="G13" s="40"/>
      <c r="H13" s="40"/>
      <c r="I13" s="16"/>
      <c r="J13" s="40"/>
      <c r="K13" s="16"/>
      <c r="L13" s="40"/>
      <c r="M13" s="16"/>
      <c r="N13" s="40"/>
      <c r="O13" s="16"/>
      <c r="P13" s="40"/>
      <c r="Q13" s="16"/>
      <c r="R13" s="66"/>
      <c r="T13" s="22"/>
    </row>
    <row r="14" spans="1:20">
      <c r="D14" s="51"/>
      <c r="E14" s="40" t="s">
        <v>52</v>
      </c>
      <c r="F14" s="40"/>
      <c r="G14" s="40"/>
      <c r="H14" s="40"/>
      <c r="I14" s="40"/>
      <c r="J14" s="40"/>
      <c r="K14" s="131" t="str">
        <f>IF(OR(N(I13)=0,N(K13)=0),Blank,(K13-I13)/I13)</f>
        <v/>
      </c>
      <c r="L14" s="131"/>
      <c r="M14" s="131" t="str">
        <f>IF(OR(N(K13)=0,N(M13)=0),Blank,(M13-K13)/K13)</f>
        <v/>
      </c>
      <c r="N14" s="131"/>
      <c r="O14" s="131" t="str">
        <f>IF(OR(N(M13)=0,N(O13)=0),Blank,(O13-M13)/M13)</f>
        <v/>
      </c>
      <c r="P14" s="131"/>
      <c r="Q14" s="131" t="str">
        <f>IF(OR(N(O13)=0,N(Q13)=0),Blank,(Q13-O13)/O13)</f>
        <v/>
      </c>
      <c r="R14" s="66"/>
      <c r="T14" s="22"/>
    </row>
    <row r="15" spans="1:20">
      <c r="D15" s="51"/>
      <c r="E15" s="126" t="s">
        <v>157</v>
      </c>
      <c r="F15" s="40"/>
      <c r="G15" s="40"/>
      <c r="H15" s="40"/>
      <c r="I15" s="128">
        <f>+I13</f>
        <v>0</v>
      </c>
      <c r="J15" s="40"/>
      <c r="K15" s="128">
        <f>IF(I15=0,0,K13)</f>
        <v>0</v>
      </c>
      <c r="L15" s="131"/>
      <c r="M15" s="128">
        <f>IF(K15=0,0,M13)</f>
        <v>0</v>
      </c>
      <c r="N15" s="131"/>
      <c r="O15" s="128">
        <f>IF(M15=0,0,O13)</f>
        <v>0</v>
      </c>
      <c r="P15" s="131"/>
      <c r="Q15" s="128">
        <f>IF(O15=0,0,Q13)</f>
        <v>0</v>
      </c>
      <c r="R15" s="66"/>
      <c r="T15" s="22"/>
    </row>
    <row r="16" spans="1:20" ht="13.5" thickBot="1">
      <c r="D16" s="59"/>
      <c r="E16" s="60"/>
      <c r="F16" s="60"/>
      <c r="G16" s="60"/>
      <c r="H16" s="60"/>
      <c r="I16" s="60"/>
      <c r="J16" s="60"/>
      <c r="K16" s="152"/>
      <c r="L16" s="152"/>
      <c r="M16" s="152"/>
      <c r="N16" s="152"/>
      <c r="O16" s="152"/>
      <c r="P16" s="152"/>
      <c r="Q16" s="152"/>
      <c r="R16" s="153"/>
      <c r="T16" s="23"/>
    </row>
    <row r="17" spans="1:20">
      <c r="D17" s="47"/>
      <c r="E17" s="48"/>
      <c r="F17" s="48"/>
      <c r="G17" s="48"/>
      <c r="H17" s="48"/>
      <c r="I17" s="48"/>
      <c r="J17" s="48"/>
      <c r="K17" s="154"/>
      <c r="L17" s="154"/>
      <c r="M17" s="154"/>
      <c r="N17" s="154"/>
      <c r="O17" s="154"/>
      <c r="P17" s="154"/>
      <c r="Q17" s="154"/>
      <c r="R17" s="151"/>
      <c r="T17" s="24"/>
    </row>
    <row r="18" spans="1:20" ht="15.75">
      <c r="D18" s="51"/>
      <c r="E18" s="79" t="s">
        <v>204</v>
      </c>
      <c r="F18" s="40"/>
      <c r="G18" s="40"/>
      <c r="H18" s="40"/>
      <c r="I18" s="40"/>
      <c r="J18" s="40"/>
      <c r="K18" s="131"/>
      <c r="L18" s="131"/>
      <c r="M18" s="131"/>
      <c r="N18" s="131"/>
      <c r="O18" s="131"/>
      <c r="P18" s="131"/>
      <c r="Q18" s="131"/>
      <c r="R18" s="66"/>
      <c r="T18" s="22"/>
    </row>
    <row r="19" spans="1:20" ht="15.75">
      <c r="D19" s="51"/>
      <c r="E19" s="79"/>
      <c r="F19" s="40"/>
      <c r="G19" s="40"/>
      <c r="H19" s="40"/>
      <c r="I19" s="40"/>
      <c r="J19" s="40"/>
      <c r="K19" s="131"/>
      <c r="L19" s="131"/>
      <c r="M19" s="131"/>
      <c r="N19" s="131"/>
      <c r="O19" s="131"/>
      <c r="P19" s="131"/>
      <c r="Q19" s="131"/>
      <c r="R19" s="66"/>
      <c r="T19" s="22"/>
    </row>
    <row r="20" spans="1:20">
      <c r="D20" s="51"/>
      <c r="E20" s="68" t="s">
        <v>205</v>
      </c>
      <c r="F20" s="40"/>
      <c r="G20" s="40"/>
      <c r="H20" s="40"/>
      <c r="I20" s="40"/>
      <c r="J20" s="40"/>
      <c r="K20" s="131"/>
      <c r="L20" s="131"/>
      <c r="M20" s="131"/>
      <c r="N20" s="131"/>
      <c r="O20" s="131"/>
      <c r="P20" s="131"/>
      <c r="Q20" s="131"/>
      <c r="R20" s="66"/>
      <c r="T20" s="22"/>
    </row>
    <row r="21" spans="1:20">
      <c r="A21" s="36">
        <f>IF(S1_stat&gt;0,1,0)</f>
        <v>0</v>
      </c>
      <c r="D21" s="51"/>
      <c r="E21" s="40" t="str">
        <f>"Study 1: "&amp;IF(A21=1,S1_type&amp;" "&amp;LOWER(S1_box)&amp;" box",Notype)</f>
        <v>Study 1: Not current</v>
      </c>
      <c r="F21" s="40"/>
      <c r="G21" s="40" t="str">
        <f>IF(A21=1,Currency,Blank)</f>
        <v/>
      </c>
      <c r="H21" s="40"/>
      <c r="I21" s="128" t="str">
        <f>IF(AND($A21=1,I$15&gt;0),I$64,Blank)</f>
        <v/>
      </c>
      <c r="J21" s="40"/>
      <c r="K21" s="128" t="str">
        <f>IF(AND($A21=1,K$15&gt;0),K$64,Blank)</f>
        <v/>
      </c>
      <c r="L21" s="131"/>
      <c r="M21" s="128" t="str">
        <f>IF(AND($A21=1,M$15&gt;0),M$64,Blank)</f>
        <v/>
      </c>
      <c r="N21" s="131"/>
      <c r="O21" s="128" t="str">
        <f>IF(AND($A21=1,O$15&gt;0),O$64,Blank)</f>
        <v/>
      </c>
      <c r="P21" s="131"/>
      <c r="Q21" s="128" t="str">
        <f>IF(AND($A21=1,Q$15&gt;0),Q$64,Blank)</f>
        <v/>
      </c>
      <c r="R21" s="66"/>
      <c r="T21" s="22"/>
    </row>
    <row r="22" spans="1:20">
      <c r="B22" s="36">
        <f>IF(S2_stat&gt;0,1,0)</f>
        <v>0</v>
      </c>
      <c r="D22" s="51"/>
      <c r="E22" s="40" t="str">
        <f>"Study 2: "&amp;IF(B22=1,S2_type&amp;" "&amp;LOWER(S2_box)&amp;" box",Notype)</f>
        <v>Study 2: Not current</v>
      </c>
      <c r="F22" s="40"/>
      <c r="G22" s="40" t="str">
        <f>IF(B22=1,Currency,Blank)</f>
        <v/>
      </c>
      <c r="H22" s="40"/>
      <c r="I22" s="128" t="str">
        <f>IF(AND($B22=1,I$15&gt;0),I$104,Blank)</f>
        <v/>
      </c>
      <c r="J22" s="40"/>
      <c r="K22" s="128" t="str">
        <f>IF(AND($B22=1,K$15&gt;0),K$104,Blank)</f>
        <v/>
      </c>
      <c r="L22" s="131"/>
      <c r="M22" s="128" t="str">
        <f>IF(AND($B22=1,M$15&gt;0),M$104,Blank)</f>
        <v/>
      </c>
      <c r="N22" s="131"/>
      <c r="O22" s="128" t="str">
        <f>IF(AND($B22=1,O$15&gt;0),O$104,Blank)</f>
        <v/>
      </c>
      <c r="P22" s="131"/>
      <c r="Q22" s="128" t="str">
        <f>IF(AND($B22=1,Q$15&gt;0),Q$104,Blank)</f>
        <v/>
      </c>
      <c r="R22" s="66"/>
      <c r="T22" s="22"/>
    </row>
    <row r="23" spans="1:20">
      <c r="D23" s="51"/>
      <c r="E23" s="40"/>
      <c r="F23" s="40"/>
      <c r="G23" s="40"/>
      <c r="H23" s="40"/>
      <c r="I23" s="40"/>
      <c r="J23" s="40"/>
      <c r="K23" s="131"/>
      <c r="L23" s="131"/>
      <c r="M23" s="131"/>
      <c r="N23" s="131"/>
      <c r="O23" s="131"/>
      <c r="P23" s="131"/>
      <c r="Q23" s="131"/>
      <c r="R23" s="66"/>
      <c r="T23" s="22"/>
    </row>
    <row r="24" spans="1:20">
      <c r="D24" s="51"/>
      <c r="E24" s="40" t="s">
        <v>226</v>
      </c>
      <c r="F24" s="40"/>
      <c r="G24" s="40"/>
      <c r="H24" s="40"/>
      <c r="I24" s="128" t="str">
        <f>IF(AND($A$21=1,$B$22=1,I$15&gt;0),IF(MAX($I21:$Q21)&gt;MAX($I22:$Q22),I21-I22,I22-I21),Blank)</f>
        <v/>
      </c>
      <c r="J24" s="40"/>
      <c r="K24" s="128" t="str">
        <f>IF(AND($A$21=1,$B$22=1,K$15&gt;0),IF(MAX($I21:$Q21)&gt;MAX($I22:$Q22),K21-K22,K22-K21),Blank)</f>
        <v/>
      </c>
      <c r="L24" s="131"/>
      <c r="M24" s="128" t="str">
        <f>IF(AND($A$21=1,$B$22=1,M$15&gt;0),IF(MAX($I21:$Q21)&gt;MAX($I22:$Q22),M21-M22,M22-M21),Blank)</f>
        <v/>
      </c>
      <c r="N24" s="131"/>
      <c r="O24" s="128" t="str">
        <f>IF(AND($A$21=1,$B$22=1,O$15&gt;0),IF(MAX($I21:$Q21)&gt;MAX($I22:$Q22),O21-O22,O22-O21),Blank)</f>
        <v/>
      </c>
      <c r="P24" s="131"/>
      <c r="Q24" s="128" t="str">
        <f>IF(AND($A$21=1,$B$22=1,Q$15&gt;0),IF(MAX($I21:$Q21)&gt;MAX($I22:$Q22),Q21-Q22,Q22-Q21),Blank)</f>
        <v/>
      </c>
      <c r="R24" s="66"/>
      <c r="T24" s="22"/>
    </row>
    <row r="25" spans="1:20" ht="13.5" thickBot="1">
      <c r="D25" s="59"/>
      <c r="E25" s="60"/>
      <c r="F25" s="60"/>
      <c r="G25" s="60"/>
      <c r="H25" s="60"/>
      <c r="I25" s="60"/>
      <c r="J25" s="60"/>
      <c r="K25" s="152"/>
      <c r="L25" s="152"/>
      <c r="M25" s="152"/>
      <c r="N25" s="152"/>
      <c r="O25" s="152"/>
      <c r="P25" s="152"/>
      <c r="Q25" s="152"/>
      <c r="R25" s="153"/>
      <c r="T25" s="23"/>
    </row>
    <row r="26" spans="1:20">
      <c r="C26" s="221" t="s">
        <v>128</v>
      </c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151"/>
      <c r="T26" s="22"/>
    </row>
    <row r="27" spans="1:20" ht="15.75">
      <c r="B27" s="36">
        <f>IF(S1_stat&gt;0,1,0)</f>
        <v>0</v>
      </c>
      <c r="C27" s="221" t="s">
        <v>128</v>
      </c>
      <c r="D27" s="51"/>
      <c r="E27" s="79" t="str">
        <f>"Study 1: "&amp;IF(B27=1,S1_type&amp;" "&amp;LOWER(S1_box)&amp;" box",Notype)</f>
        <v>Study 1: Not current</v>
      </c>
      <c r="F27" s="79"/>
      <c r="G27" s="52"/>
      <c r="H27" s="52"/>
      <c r="I27" s="40"/>
      <c r="J27" s="40"/>
      <c r="K27" s="40"/>
      <c r="L27" s="40"/>
      <c r="M27" s="40"/>
      <c r="N27" s="40"/>
      <c r="O27" s="40"/>
      <c r="P27" s="40"/>
      <c r="Q27" s="40"/>
      <c r="R27" s="66"/>
      <c r="T27" s="22"/>
    </row>
    <row r="28" spans="1:20" ht="12.75" customHeight="1">
      <c r="C28" s="221" t="s">
        <v>128</v>
      </c>
      <c r="D28" s="51"/>
      <c r="E28" s="79"/>
      <c r="F28" s="79"/>
      <c r="G28" s="52"/>
      <c r="H28" s="52"/>
      <c r="I28" s="40"/>
      <c r="J28" s="40"/>
      <c r="K28" s="40"/>
      <c r="L28" s="40"/>
      <c r="M28" s="40"/>
      <c r="N28" s="40"/>
      <c r="O28" s="40"/>
      <c r="P28" s="40"/>
      <c r="Q28" s="40"/>
      <c r="R28" s="66"/>
      <c r="T28" s="22"/>
    </row>
    <row r="29" spans="1:20" ht="12.75" customHeight="1">
      <c r="A29" s="36">
        <f>IF(S1_stat&gt;0,1,0)</f>
        <v>0</v>
      </c>
      <c r="B29" s="36">
        <f>IF(S1_stat&gt;0,1,0)</f>
        <v>0</v>
      </c>
      <c r="C29" s="221" t="s">
        <v>128</v>
      </c>
      <c r="D29" s="51"/>
      <c r="E29" s="55" t="str">
        <f>IF(B29=1,"Items per box",Notype)</f>
        <v>Not current</v>
      </c>
      <c r="F29" s="55"/>
      <c r="G29" s="55"/>
      <c r="H29" s="55"/>
      <c r="I29" s="128" t="str">
        <f>IF(OR($A29=0,N(I$15)=0),Blank,S1_box_item)</f>
        <v/>
      </c>
      <c r="J29" s="128"/>
      <c r="K29" s="128" t="str">
        <f>IF(OR($A29=0,N(K$15)=0),Blank,S1_box_item)</f>
        <v/>
      </c>
      <c r="L29" s="128"/>
      <c r="M29" s="128" t="str">
        <f>IF(OR($A29=0,N(M$15)=0),Blank,S1_box_item)</f>
        <v/>
      </c>
      <c r="N29" s="128"/>
      <c r="O29" s="128" t="str">
        <f>IF(OR($A29=0,N(O$15)=0),Blank,S1_box_item)</f>
        <v/>
      </c>
      <c r="P29" s="128"/>
      <c r="Q29" s="128" t="str">
        <f>IF(OR($A29=0,N(Q$15)=0),Blank,S1_box_item)</f>
        <v/>
      </c>
      <c r="R29" s="66"/>
      <c r="T29" s="22"/>
    </row>
    <row r="30" spans="1:20">
      <c r="A30" s="36">
        <f>IF(S1_stat&gt;0,1,0)</f>
        <v>0</v>
      </c>
      <c r="B30" s="36">
        <f>IF(S1_stat&gt;0,1,0)</f>
        <v>0</v>
      </c>
      <c r="C30" s="221" t="s">
        <v>128</v>
      </c>
      <c r="D30" s="51"/>
      <c r="E30" s="40" t="str">
        <f>IF(B30=1,"Boxes to be sent",Notype)</f>
        <v>Not current</v>
      </c>
      <c r="F30" s="40"/>
      <c r="G30" s="40"/>
      <c r="H30" s="40"/>
      <c r="I30" s="129" t="str">
        <f>IF(OR($A30=0,N(I29)=0),Blank,I$15/I29)</f>
        <v/>
      </c>
      <c r="J30" s="128"/>
      <c r="K30" s="129" t="str">
        <f>IF(OR($A30=0,N(K29)=0),Blank,K$15/K29)</f>
        <v/>
      </c>
      <c r="L30" s="128"/>
      <c r="M30" s="129" t="str">
        <f>IF(OR($A30=0,N(M29)=0),Blank,M$15/M29)</f>
        <v/>
      </c>
      <c r="N30" s="128"/>
      <c r="O30" s="129" t="str">
        <f>IF(OR($A30=0,N(O29)=0),Blank,O$15/O29)</f>
        <v/>
      </c>
      <c r="P30" s="128"/>
      <c r="Q30" s="129" t="str">
        <f>IF(OR($A30=0,N(Q29)=0),Blank,Q$15/Q29)</f>
        <v/>
      </c>
      <c r="R30" s="66"/>
      <c r="T30" s="22"/>
    </row>
    <row r="31" spans="1:20">
      <c r="C31" s="221" t="s">
        <v>128</v>
      </c>
      <c r="D31" s="51"/>
      <c r="E31" s="40"/>
      <c r="F31" s="40"/>
      <c r="G31" s="40"/>
      <c r="H31" s="40"/>
      <c r="I31" s="128"/>
      <c r="J31" s="128"/>
      <c r="K31" s="128"/>
      <c r="L31" s="128"/>
      <c r="M31" s="128"/>
      <c r="N31" s="128"/>
      <c r="O31" s="128"/>
      <c r="P31" s="128"/>
      <c r="Q31" s="128"/>
      <c r="R31" s="66"/>
      <c r="T31" s="22"/>
    </row>
    <row r="32" spans="1:20">
      <c r="A32" s="36">
        <f>IF(S1_stat&gt;0,1,0)</f>
        <v>0</v>
      </c>
      <c r="B32" s="36">
        <f>IF(S1_stat&gt;0,1,0)</f>
        <v>0</v>
      </c>
      <c r="C32" s="221" t="s">
        <v>128</v>
      </c>
      <c r="D32" s="51"/>
      <c r="E32" s="55" t="str">
        <f>IF(B32=1,"Boxes per sent "&amp;LOWER(S1_trans_send),Notype)</f>
        <v>Not current</v>
      </c>
      <c r="F32" s="55"/>
      <c r="G32" s="55"/>
      <c r="H32" s="55"/>
      <c r="I32" s="128" t="str">
        <f>IF(OR($A32=0,N(I$15)=0),Blank,N(S1_box_trans_send))</f>
        <v/>
      </c>
      <c r="J32" s="128"/>
      <c r="K32" s="128" t="str">
        <f>IF(OR($A32=0,N(K$15)=0),Blank,N(S1_box_trans_send))</f>
        <v/>
      </c>
      <c r="L32" s="128"/>
      <c r="M32" s="128" t="str">
        <f>IF(OR($A32=0,N(M$15)=0),Blank,N(S1_box_trans_send))</f>
        <v/>
      </c>
      <c r="N32" s="128"/>
      <c r="O32" s="128" t="str">
        <f>IF(OR($A32=0,N(O$15)=0),Blank,N(S1_box_trans_send))</f>
        <v/>
      </c>
      <c r="P32" s="128"/>
      <c r="Q32" s="128" t="str">
        <f>IF(OR($A32=0,N(Q$15)=0),Blank,N(S1_box_trans_send))</f>
        <v/>
      </c>
      <c r="R32" s="66"/>
      <c r="T32" s="155"/>
    </row>
    <row r="33" spans="1:20">
      <c r="A33" s="36">
        <f>IF(S1_stat&gt;0,1,0)</f>
        <v>0</v>
      </c>
      <c r="B33" s="36">
        <f>IF(S1_stat&gt;0,1,0)</f>
        <v>0</v>
      </c>
      <c r="C33" s="221" t="s">
        <v>128</v>
      </c>
      <c r="D33" s="51"/>
      <c r="E33" s="40" t="str">
        <f>IF(B33=1,S1_trans_send&amp;"s to be sent",Notype)</f>
        <v>Not current</v>
      </c>
      <c r="F33" s="40"/>
      <c r="G33" s="40"/>
      <c r="H33" s="40"/>
      <c r="I33" s="129" t="str">
        <f>IF(OR($A33=0,N(I32)=0),Blank,N(I30)/N(I32))</f>
        <v/>
      </c>
      <c r="J33" s="128"/>
      <c r="K33" s="129" t="str">
        <f>IF(OR($A33=0,N(K32)=0),Blank,N(K30)/N(K32))</f>
        <v/>
      </c>
      <c r="L33" s="128"/>
      <c r="M33" s="129" t="str">
        <f>IF(OR($A33=0,N(M32)=0),Blank,N(M30)/N(M32))</f>
        <v/>
      </c>
      <c r="N33" s="128"/>
      <c r="O33" s="129" t="str">
        <f>IF(OR($A33=0,N(O32)=0),Blank,N(O30)/N(O32))</f>
        <v/>
      </c>
      <c r="P33" s="128"/>
      <c r="Q33" s="129" t="str">
        <f>IF(OR($A33=0,N(Q32)=0),Blank,N(Q30)/N(Q32))</f>
        <v/>
      </c>
      <c r="R33" s="66"/>
      <c r="T33" s="22"/>
    </row>
    <row r="34" spans="1:20">
      <c r="C34" s="221" t="s">
        <v>128</v>
      </c>
      <c r="D34" s="51"/>
      <c r="E34" s="40"/>
      <c r="F34" s="40"/>
      <c r="G34" s="40"/>
      <c r="H34" s="40"/>
      <c r="I34" s="128"/>
      <c r="J34" s="128"/>
      <c r="K34" s="128"/>
      <c r="L34" s="128"/>
      <c r="M34" s="128"/>
      <c r="N34" s="128"/>
      <c r="O34" s="128"/>
      <c r="P34" s="128"/>
      <c r="Q34" s="128"/>
      <c r="R34" s="66"/>
      <c r="T34" s="22"/>
    </row>
    <row r="35" spans="1:20">
      <c r="A35" s="36">
        <f>IF(S1_stat=1,1,0)</f>
        <v>0</v>
      </c>
      <c r="B35" s="36">
        <f>IF(S1_stat=1,1,0)</f>
        <v>0</v>
      </c>
      <c r="C35" s="221" t="s">
        <v>128</v>
      </c>
      <c r="D35" s="51"/>
      <c r="E35" s="55" t="str">
        <f>IF(B35=1,"Collapsed boxes per returned "&amp;LOWER(S1_trans_return),Notype)</f>
        <v>Not current</v>
      </c>
      <c r="F35" s="55"/>
      <c r="G35" s="55"/>
      <c r="H35" s="55"/>
      <c r="I35" s="128" t="str">
        <f>IF(OR($A35=0,N(I$15)=0),Blank,S1_box_trans_return)</f>
        <v/>
      </c>
      <c r="J35" s="128"/>
      <c r="K35" s="128" t="str">
        <f>IF(OR($A35=0,N(K$15)=0),Blank,S1_box_trans_return)</f>
        <v/>
      </c>
      <c r="L35" s="128"/>
      <c r="M35" s="128" t="str">
        <f>IF(OR($A35=0,N(M$15)=0),Blank,S1_box_trans_return)</f>
        <v/>
      </c>
      <c r="N35" s="128"/>
      <c r="O35" s="128" t="str">
        <f>IF(OR($A35=0,N(O$15)=0),Blank,S1_box_trans_return)</f>
        <v/>
      </c>
      <c r="P35" s="128"/>
      <c r="Q35" s="128" t="str">
        <f>IF(OR($A35=0,N(Q$15)=0),Blank,S1_box_trans_return)</f>
        <v/>
      </c>
      <c r="R35" s="66"/>
      <c r="T35" s="155"/>
    </row>
    <row r="36" spans="1:20">
      <c r="A36" s="36">
        <f>IF(S1_stat=1,1,0)</f>
        <v>0</v>
      </c>
      <c r="B36" s="36">
        <f>IF(S1_stat=1,1,0)</f>
        <v>0</v>
      </c>
      <c r="C36" s="221" t="s">
        <v>128</v>
      </c>
      <c r="D36" s="51"/>
      <c r="E36" s="40" t="str">
        <f>IF(B36=1,S1_trans_return&amp;"s to be returned",Notype)</f>
        <v>Not current</v>
      </c>
      <c r="F36" s="40"/>
      <c r="G36" s="40"/>
      <c r="H36" s="40"/>
      <c r="I36" s="129" t="str">
        <f>IF(OR($A36=0,N(I35)=0),Blank,N(I30)/N(I35))</f>
        <v/>
      </c>
      <c r="J36" s="128"/>
      <c r="K36" s="129" t="str">
        <f>IF(OR($A36=0,N(K35)=0),Blank,N(K30)/N(K35))</f>
        <v/>
      </c>
      <c r="L36" s="128"/>
      <c r="M36" s="129" t="str">
        <f>IF(OR($A36=0,N(M35)=0),Blank,N(M30)/N(M35))</f>
        <v/>
      </c>
      <c r="N36" s="128"/>
      <c r="O36" s="129" t="str">
        <f>IF(OR($A36=0,N(O35)=0),Blank,N(O30)/N(O35))</f>
        <v/>
      </c>
      <c r="P36" s="128"/>
      <c r="Q36" s="129" t="str">
        <f>IF(OR($A36=0,N(Q35)=0),Blank,N(Q30)/N(Q35))</f>
        <v/>
      </c>
      <c r="R36" s="66"/>
      <c r="T36" s="22"/>
    </row>
    <row r="37" spans="1:20">
      <c r="C37" s="221" t="s">
        <v>128</v>
      </c>
      <c r="D37" s="51"/>
      <c r="E37" s="40"/>
      <c r="F37" s="40"/>
      <c r="G37" s="40"/>
      <c r="H37" s="40"/>
      <c r="I37" s="129"/>
      <c r="J37" s="128"/>
      <c r="K37" s="129"/>
      <c r="L37" s="128"/>
      <c r="M37" s="129"/>
      <c r="N37" s="128"/>
      <c r="O37" s="129"/>
      <c r="P37" s="128"/>
      <c r="Q37" s="129"/>
      <c r="R37" s="66"/>
      <c r="T37" s="22"/>
    </row>
    <row r="38" spans="1:20">
      <c r="B38" s="36">
        <f>IF(S1_stat=1,1,0)</f>
        <v>0</v>
      </c>
      <c r="C38" s="221" t="s">
        <v>128</v>
      </c>
      <c r="D38" s="51"/>
      <c r="E38" s="68" t="str">
        <f>IF(B38=1,CHOOSE(S1_batch_method+1,"Method of batch handling missing","Awaiting batch handling;","Continuously batch handling"),Notype)</f>
        <v>Not current</v>
      </c>
      <c r="F38" s="40"/>
      <c r="G38" s="40"/>
      <c r="H38" s="40"/>
      <c r="I38" s="128"/>
      <c r="J38" s="128"/>
      <c r="K38" s="128"/>
      <c r="L38" s="128"/>
      <c r="M38" s="128"/>
      <c r="N38" s="128"/>
      <c r="O38" s="128"/>
      <c r="P38" s="128"/>
      <c r="Q38" s="128"/>
      <c r="R38" s="66"/>
      <c r="T38" s="22"/>
    </row>
    <row r="39" spans="1:20">
      <c r="C39" s="221" t="s">
        <v>128</v>
      </c>
      <c r="D39" s="51"/>
      <c r="E39" s="68"/>
      <c r="F39" s="40"/>
      <c r="G39" s="40"/>
      <c r="H39" s="40"/>
      <c r="I39" s="128"/>
      <c r="J39" s="128"/>
      <c r="K39" s="128"/>
      <c r="L39" s="128"/>
      <c r="M39" s="128"/>
      <c r="N39" s="128"/>
      <c r="O39" s="128"/>
      <c r="P39" s="128"/>
      <c r="Q39" s="128"/>
      <c r="R39" s="66"/>
      <c r="T39" s="22"/>
    </row>
    <row r="40" spans="1:20">
      <c r="A40" s="36">
        <f t="shared" ref="A40:B44" si="0">IF(S1_stat=1,1,0)</f>
        <v>0</v>
      </c>
      <c r="B40" s="36">
        <f t="shared" si="0"/>
        <v>0</v>
      </c>
      <c r="C40" s="221" t="s">
        <v>128</v>
      </c>
      <c r="D40" s="51"/>
      <c r="E40" s="93" t="str">
        <f>IF(B40=1,"Handling time at sender",Notype)</f>
        <v>Not current</v>
      </c>
      <c r="F40" s="40"/>
      <c r="G40" s="40" t="str">
        <f>IF(B40=1,"days","")</f>
        <v/>
      </c>
      <c r="H40" s="40"/>
      <c r="I40" s="71" t="str">
        <f>IF(OR($A40=0,N(I$15)=0,N(S1_time_total)=0),Blank,IF(S1_batch_size=0,S1_time_hand,S1_time_hand*I$15/S1_batch_size))</f>
        <v/>
      </c>
      <c r="J40" s="128"/>
      <c r="K40" s="71" t="str">
        <f>IF(OR($A40=0,N(K$15)=0,N(S1_time_total)=0),Blank,IF(S1_batch_size=0,S1_time_hand,S1_time_hand*K$15/S1_batch_size))</f>
        <v/>
      </c>
      <c r="L40" s="128"/>
      <c r="M40" s="71" t="str">
        <f>IF(OR($A40=0,N(M$15)=0,N(S1_time_total)=0),Blank,IF(S1_batch_size=0,S1_time_hand,S1_time_hand*M$15/S1_batch_size))</f>
        <v/>
      </c>
      <c r="N40" s="128"/>
      <c r="O40" s="71" t="str">
        <f>IF(OR($A40=0,N(O$15)=0,N(S1_time_total)=0),Blank,IF(S1_batch_size=0,S1_time_hand,S1_time_hand*O$15/S1_batch_size))</f>
        <v/>
      </c>
      <c r="P40" s="128"/>
      <c r="Q40" s="71" t="str">
        <f>IF(OR($A40=0,N(Q$15)=0,N(S1_time_total)=0),Blank,IF(S1_batch_size=0,S1_time_hand,S1_time_hand*Q$15/S1_batch_size))</f>
        <v/>
      </c>
      <c r="R40" s="66"/>
      <c r="T40" s="22"/>
    </row>
    <row r="41" spans="1:20">
      <c r="A41" s="36">
        <f t="shared" si="0"/>
        <v>0</v>
      </c>
      <c r="B41" s="36">
        <f t="shared" si="0"/>
        <v>0</v>
      </c>
      <c r="C41" s="221" t="s">
        <v>128</v>
      </c>
      <c r="D41" s="51"/>
      <c r="E41" s="93" t="str">
        <f>IF(B41=1,"Transport to receiver",Notype)</f>
        <v>Not current</v>
      </c>
      <c r="F41" s="40"/>
      <c r="G41" s="40" t="str">
        <f>IF(B41=1,"days","")</f>
        <v/>
      </c>
      <c r="H41" s="40"/>
      <c r="I41" s="71" t="str">
        <f>IF(OR($A41=0,N(I$15)=0,N(S1_time_total)=0),Blank,S1_time_send)</f>
        <v/>
      </c>
      <c r="J41" s="128"/>
      <c r="K41" s="71" t="str">
        <f>IF(OR($A41=0,N(K$15)=0,N(S1_time_total)=0),Blank,S1_time_send)</f>
        <v/>
      </c>
      <c r="L41" s="128"/>
      <c r="M41" s="71" t="str">
        <f>IF(OR($A41=0,N(M$15)=0,N(S1_time_total)=0),Blank,S1_time_send)</f>
        <v/>
      </c>
      <c r="N41" s="128"/>
      <c r="O41" s="71" t="str">
        <f>IF(OR($A41=0,N(O$15)=0,N(S1_time_total)=0),Blank,S1_time_send)</f>
        <v/>
      </c>
      <c r="P41" s="128"/>
      <c r="Q41" s="71" t="str">
        <f>IF(OR($A41=0,N(Q$15)=0,N(S1_time_total)=0),Blank,S1_time_send)</f>
        <v/>
      </c>
      <c r="R41" s="66"/>
      <c r="T41" s="22"/>
    </row>
    <row r="42" spans="1:20">
      <c r="A42" s="36">
        <f t="shared" si="0"/>
        <v>0</v>
      </c>
      <c r="B42" s="36">
        <f t="shared" si="0"/>
        <v>0</v>
      </c>
      <c r="C42" s="221" t="s">
        <v>128</v>
      </c>
      <c r="D42" s="51"/>
      <c r="E42" s="93" t="str">
        <f>IF(B42=1,"Handling time at receiver",Notype)</f>
        <v>Not current</v>
      </c>
      <c r="F42" s="40"/>
      <c r="G42" s="40" t="str">
        <f>IF(B42=1,"days","")</f>
        <v/>
      </c>
      <c r="H42" s="40"/>
      <c r="I42" s="71" t="str">
        <f>IF(OR($A42=0,N(I$15)=0,N(S1_time_total)=0),Blank,IF(S1_batch_size=0,S1_time_receiver,S1_time_receiver*I$15/S1_batch_size))</f>
        <v/>
      </c>
      <c r="J42" s="128"/>
      <c r="K42" s="71" t="str">
        <f>IF(OR($A42=0,N(K$15)=0,N(S1_time_total)=0),Blank,IF(S1_batch_size=0,S1_time_receiver,S1_time_receiver*K$15/S1_batch_size))</f>
        <v/>
      </c>
      <c r="L42" s="128"/>
      <c r="M42" s="71" t="str">
        <f>IF(OR($A42=0,N(M$15)=0,N(S1_time_total)=0),Blank,IF(S1_batch_size=0,S1_time_receiver,S1_time_receiver*M$15/S1_batch_size))</f>
        <v/>
      </c>
      <c r="N42" s="128"/>
      <c r="O42" s="71" t="str">
        <f>IF(OR($A42=0,N(O$15)=0,N(S1_time_total)=0),Blank,IF(S1_batch_size=0,S1_time_receiver,S1_time_receiver*O$15/S1_batch_size))</f>
        <v/>
      </c>
      <c r="P42" s="128"/>
      <c r="Q42" s="71" t="str">
        <f>IF(OR($A42=0,N(Q$15)=0,N(S1_time_total)=0),Blank,IF(S1_batch_size=0,S1_time_receiver,S1_time_receiver*Q$15/S1_batch_size))</f>
        <v/>
      </c>
      <c r="R42" s="66"/>
      <c r="T42" s="22"/>
    </row>
    <row r="43" spans="1:20">
      <c r="A43" s="36">
        <f t="shared" si="0"/>
        <v>0</v>
      </c>
      <c r="B43" s="36">
        <f t="shared" si="0"/>
        <v>0</v>
      </c>
      <c r="C43" s="221" t="s">
        <v>128</v>
      </c>
      <c r="D43" s="51"/>
      <c r="E43" s="93" t="str">
        <f>IF(B43=1,"Return transport to sender",Notype)</f>
        <v>Not current</v>
      </c>
      <c r="F43" s="40"/>
      <c r="G43" s="40" t="str">
        <f>IF(B43=1,"days","")</f>
        <v/>
      </c>
      <c r="H43" s="40"/>
      <c r="I43" s="71" t="str">
        <f>IF(OR($A43=0,N(I$15)=0,N(S1_time_total)=0),Blank,S1_time_return)</f>
        <v/>
      </c>
      <c r="J43" s="128"/>
      <c r="K43" s="71" t="str">
        <f>IF(OR($A43=0,N(K$15)=0,N(S1_time_total)=0),Blank,S1_time_return)</f>
        <v/>
      </c>
      <c r="L43" s="128"/>
      <c r="M43" s="71" t="str">
        <f>IF(OR($A43=0,N(M$15)=0,N(S1_time_total)=0),Blank,S1_time_return)</f>
        <v/>
      </c>
      <c r="N43" s="128"/>
      <c r="O43" s="71" t="str">
        <f>IF(OR($A43=0,N(O$15)=0,N(S1_time_total)=0),Blank,S1_time_return)</f>
        <v/>
      </c>
      <c r="P43" s="128"/>
      <c r="Q43" s="71" t="str">
        <f>IF(OR($A43=0,N(Q$15)=0,N(S1_time_total)=0),Blank,S1_time_return)</f>
        <v/>
      </c>
      <c r="R43" s="66"/>
      <c r="T43" s="22"/>
    </row>
    <row r="44" spans="1:20">
      <c r="A44" s="36">
        <f t="shared" si="0"/>
        <v>0</v>
      </c>
      <c r="B44" s="36">
        <f t="shared" si="0"/>
        <v>0</v>
      </c>
      <c r="C44" s="221" t="s">
        <v>128</v>
      </c>
      <c r="D44" s="51"/>
      <c r="E44" s="93" t="str">
        <f>IF(B44=1,"Total engaded time",Notype)</f>
        <v>Not current</v>
      </c>
      <c r="F44" s="40"/>
      <c r="G44" s="40" t="str">
        <f>IF(B44=1,"days","")</f>
        <v/>
      </c>
      <c r="H44" s="40"/>
      <c r="I44" s="70" t="str">
        <f>IF(OR($A44=0,N(I$15)=0,N(S1_time_total)=0),Blank,SUM(I40:I43))</f>
        <v/>
      </c>
      <c r="J44" s="128"/>
      <c r="K44" s="70" t="str">
        <f>IF(OR($A44=0,N(K$15)=0,N(S1_time_total)=0),Blank,SUM(K40:K43))</f>
        <v/>
      </c>
      <c r="L44" s="128"/>
      <c r="M44" s="70" t="str">
        <f>IF(OR($A44=0,N(M$15)=0,N(S1_time_total)=0),Blank,SUM(M40:M43))</f>
        <v/>
      </c>
      <c r="N44" s="128"/>
      <c r="O44" s="70" t="str">
        <f>IF(OR($A44=0,N(O$15)=0,N(S1_time_total)=0),Blank,SUM(O40:O43))</f>
        <v/>
      </c>
      <c r="P44" s="128"/>
      <c r="Q44" s="70" t="str">
        <f>IF(OR($A44=0,N(Q$15)=0,N(S1_time_total)=0),Blank,SUM(Q40:Q43))</f>
        <v/>
      </c>
      <c r="R44" s="66"/>
      <c r="T44" s="22"/>
    </row>
    <row r="45" spans="1:20">
      <c r="C45" s="221" t="s">
        <v>128</v>
      </c>
      <c r="D45" s="51"/>
      <c r="E45" s="68"/>
      <c r="F45" s="40"/>
      <c r="G45" s="40"/>
      <c r="H45" s="40"/>
      <c r="I45" s="128"/>
      <c r="J45" s="128"/>
      <c r="K45" s="128"/>
      <c r="L45" s="128"/>
      <c r="M45" s="128"/>
      <c r="N45" s="128"/>
      <c r="O45" s="128"/>
      <c r="P45" s="128"/>
      <c r="Q45" s="128"/>
      <c r="R45" s="66"/>
      <c r="T45" s="22"/>
    </row>
    <row r="46" spans="1:20">
      <c r="A46" s="36">
        <f>IF(S1_stat=1,1,0)</f>
        <v>0</v>
      </c>
      <c r="B46" s="36">
        <f>IF(S1_stat=1,1,0)</f>
        <v>0</v>
      </c>
      <c r="C46" s="221" t="s">
        <v>128</v>
      </c>
      <c r="D46" s="51"/>
      <c r="E46" s="93" t="str">
        <f>IF(B46=1,"Number of handling batches",Notype)</f>
        <v>Not current</v>
      </c>
      <c r="F46" s="40"/>
      <c r="G46" s="40"/>
      <c r="H46" s="40"/>
      <c r="I46" s="72" t="str">
        <f>IF(OR($A46=0,N(I$15)=0,N(S1_time_total)=0),Blank,IF(S1_batch_method=1,Days_year/I44,IF(S1_batch_method=2,Days_year/I40,Blank)))</f>
        <v/>
      </c>
      <c r="J46" s="128"/>
      <c r="K46" s="72" t="str">
        <f>IF(OR($A46=0,N(K$15)=0,N(S1_time_total)=0),Blank,IF(S1_batch_method=1,Days_year/K44,IF(S1_batch_method=2,Days_year/K40,Blank)))</f>
        <v/>
      </c>
      <c r="L46" s="128"/>
      <c r="M46" s="72" t="str">
        <f>IF(OR($A46=0,N(M$15)=0,N(S1_time_total)=0),Blank,IF(S1_batch_method=1,Days_year/M44,IF(S1_batch_method=2,Days_year/M40,Blank)))</f>
        <v/>
      </c>
      <c r="N46" s="128"/>
      <c r="O46" s="72" t="str">
        <f>IF(OR($A46=0,N(O$15)=0,N(S1_time_total)=0),Blank,IF(S1_batch_method=1,Days_year/O44,IF(S1_batch_method=2,Days_year/O40,Blank)))</f>
        <v/>
      </c>
      <c r="P46" s="128"/>
      <c r="Q46" s="72" t="str">
        <f>IF(OR($A46=0,N(Q$15)=0,N(S1_time_total)=0),Blank,IF(S1_batch_method=1,Days_year/Q44,IF(S1_batch_method=2,Days_year/Q40,Blank)))</f>
        <v/>
      </c>
      <c r="R46" s="66"/>
      <c r="T46" s="22"/>
    </row>
    <row r="47" spans="1:20">
      <c r="A47" s="36">
        <f>IF(S1_stat=1,1,0)</f>
        <v>0</v>
      </c>
      <c r="B47" s="36">
        <f>IF(S1_stat=1,1,0)</f>
        <v>0</v>
      </c>
      <c r="C47" s="221" t="s">
        <v>128</v>
      </c>
      <c r="D47" s="51"/>
      <c r="E47" s="40" t="str">
        <f>IF(B47=1,"Items per handling batch",Notype)</f>
        <v>Not current</v>
      </c>
      <c r="F47" s="40"/>
      <c r="G47" s="40"/>
      <c r="H47" s="40"/>
      <c r="I47" s="72" t="str">
        <f>IF(OR($A47=0,N(I$15)=0,N(I46)=0),Blank,I$15/N(I46))</f>
        <v/>
      </c>
      <c r="J47" s="128"/>
      <c r="K47" s="72" t="str">
        <f>IF(OR($A47=0,N(K$15)=0,N(K46)=0),Blank,K$15/N(K46))</f>
        <v/>
      </c>
      <c r="L47" s="128"/>
      <c r="M47" s="72" t="str">
        <f>IF(OR($A47=0,N(M$15)=0,N(M46)=0),Blank,M$15/N(M46))</f>
        <v/>
      </c>
      <c r="N47" s="128"/>
      <c r="O47" s="72" t="str">
        <f>IF(OR($A47=0,N(O$15)=0,N(O46)=0),Blank,O$15/N(O46))</f>
        <v/>
      </c>
      <c r="P47" s="128"/>
      <c r="Q47" s="72" t="str">
        <f>IF(OR($A47=0,N(Q$15)=0,N(Q46)=0),Blank,Q$15/N(Q46))</f>
        <v/>
      </c>
      <c r="R47" s="66"/>
      <c r="T47" s="22"/>
    </row>
    <row r="48" spans="1:20">
      <c r="C48" s="221" t="s">
        <v>128</v>
      </c>
      <c r="D48" s="51"/>
      <c r="E48" s="40"/>
      <c r="F48" s="40"/>
      <c r="G48" s="40"/>
      <c r="H48" s="40"/>
      <c r="I48" s="128"/>
      <c r="J48" s="128"/>
      <c r="K48" s="128"/>
      <c r="L48" s="128"/>
      <c r="M48" s="128"/>
      <c r="N48" s="128"/>
      <c r="O48" s="128"/>
      <c r="P48" s="128"/>
      <c r="Q48" s="128"/>
      <c r="R48" s="66"/>
      <c r="T48" s="22"/>
    </row>
    <row r="49" spans="1:20">
      <c r="A49" s="36">
        <f>IF(S1_stat=1,1,0)</f>
        <v>0</v>
      </c>
      <c r="B49" s="36">
        <f>IF(S1_stat=1,1,0)</f>
        <v>0</v>
      </c>
      <c r="C49" s="221" t="s">
        <v>128</v>
      </c>
      <c r="D49" s="51"/>
      <c r="E49" s="40" t="str">
        <f>IF(B49=1,"Boxes needed per handling batch",Notype)</f>
        <v>Not current</v>
      </c>
      <c r="F49" s="40"/>
      <c r="G49" s="40"/>
      <c r="H49" s="40"/>
      <c r="I49" s="72" t="str">
        <f>IF(OR($A49=0,N(I$15)=0,N(I29)=0,N(S1_time_total)=0),Blank,N(I47)/N(I29))</f>
        <v/>
      </c>
      <c r="J49" s="128"/>
      <c r="K49" s="72" t="str">
        <f>IF(OR($A49=0,N(K$15)=0,N(K29)=0,N(S1_time_total)=0),Blank,N(K47)/N(K29))</f>
        <v/>
      </c>
      <c r="L49" s="128"/>
      <c r="M49" s="72" t="str">
        <f>IF(OR($A49=0,N(M$15)=0,N(M29)=0,N(S1_time_total)=0),Blank,N(M47)/N(M29))</f>
        <v/>
      </c>
      <c r="N49" s="128"/>
      <c r="O49" s="72" t="str">
        <f>IF(OR($A49=0,N(O$15)=0,N(O29)=0,N(S1_time_total)=0),Blank,N(O47)/N(O29))</f>
        <v/>
      </c>
      <c r="P49" s="128"/>
      <c r="Q49" s="72" t="str">
        <f>IF(OR($A49=0,N(Q$15)=0,N(Q29)=0,N(S1_time_total)=0),Blank,N(Q47)/N(Q29))</f>
        <v/>
      </c>
      <c r="R49" s="66"/>
      <c r="T49" s="22"/>
    </row>
    <row r="50" spans="1:20">
      <c r="A50" s="36">
        <f>IF(S1_stat=1,1,0)</f>
        <v>0</v>
      </c>
      <c r="B50" s="36">
        <f>IF(S1_stat=1,1,0)</f>
        <v>0</v>
      </c>
      <c r="C50" s="221" t="s">
        <v>128</v>
      </c>
      <c r="D50" s="51"/>
      <c r="E50" s="40" t="str">
        <f>IF(B50=1,"Boxes used elsewhere",Notype)</f>
        <v>Not current</v>
      </c>
      <c r="F50" s="40"/>
      <c r="G50" s="40"/>
      <c r="H50" s="40"/>
      <c r="I50" s="129" t="str">
        <f>IF(OR($A50=0,N(I$15)=0,N(S1_time_total)=0),Blank,IF(S1_batch_method=1,0,IF(N(S1_time_hand)=0,Blank,(N(I49)*ROUNDUP(N(I44)/N(I40),0))-N(I49))))</f>
        <v/>
      </c>
      <c r="J50" s="128"/>
      <c r="K50" s="129" t="str">
        <f>IF(OR($A50=0,N(K$15)=0,N(S1_time_total)=0),Blank,IF(S1_batch_method=1,0,IF(N(S1_time_hand)=0,Blank,(N(K49)*ROUNDUP(N(K44)/N(K40),0))-N(K49))))</f>
        <v/>
      </c>
      <c r="L50" s="128"/>
      <c r="M50" s="129" t="str">
        <f>IF(OR($A50=0,N(M$15)=0,N(S1_time_total)=0),Blank,IF(S1_batch_method=1,0,IF(N(S1_time_hand)=0,Blank,(N(M49)*ROUNDUP(N(M44)/N(M40),0))-N(M49))))</f>
        <v/>
      </c>
      <c r="N50" s="128"/>
      <c r="O50" s="129" t="str">
        <f>IF(OR($A50=0,N(O$15)=0,N(S1_time_total)=0),Blank,IF(S1_batch_method=1,0,IF(N(S1_time_hand)=0,Blank,(N(O49)*ROUNDUP(N(O44)/N(O40),0))-N(O49))))</f>
        <v/>
      </c>
      <c r="P50" s="128"/>
      <c r="Q50" s="129" t="str">
        <f>IF(OR($A50=0,N(Q$15)=0,N(S1_time_total)=0),Blank,IF(S1_batch_method=1,0,IF(N(S1_time_hand)=0,Blank,(N(Q49)*ROUNDUP(N(Q44)/N(Q40),0))-N(Q49))))</f>
        <v/>
      </c>
      <c r="R50" s="66"/>
      <c r="T50" s="22"/>
    </row>
    <row r="51" spans="1:20">
      <c r="C51" s="221" t="s">
        <v>128</v>
      </c>
      <c r="D51" s="51"/>
      <c r="E51" s="40"/>
      <c r="F51" s="40"/>
      <c r="G51" s="40"/>
      <c r="H51" s="40"/>
      <c r="I51" s="129"/>
      <c r="J51" s="128"/>
      <c r="K51" s="129"/>
      <c r="L51" s="128"/>
      <c r="M51" s="129"/>
      <c r="N51" s="128"/>
      <c r="O51" s="129"/>
      <c r="P51" s="128"/>
      <c r="Q51" s="129"/>
      <c r="R51" s="66"/>
      <c r="T51" s="22"/>
    </row>
    <row r="52" spans="1:20">
      <c r="A52" s="36">
        <f>IF(S1_stat=1,1,0)</f>
        <v>0</v>
      </c>
      <c r="B52" s="36">
        <f>IF(S1_stat=1,1,0)</f>
        <v>0</v>
      </c>
      <c r="C52" s="221" t="s">
        <v>128</v>
      </c>
      <c r="D52" s="51"/>
      <c r="E52" s="40" t="str">
        <f>IF(B52=1,S2_trans_send&amp;"s to be sent per handling batch",Notype)</f>
        <v>Not current</v>
      </c>
      <c r="F52" s="40"/>
      <c r="G52" s="40"/>
      <c r="H52" s="40"/>
      <c r="I52" s="129" t="str">
        <f>IF(OR($A52=0,N(I$15)=0),Blank,N(I49)/N(I32))</f>
        <v/>
      </c>
      <c r="J52" s="128"/>
      <c r="K52" s="129" t="str">
        <f>IF(OR($A52=0,N(K$15)=0),Blank,N(K49)/N(K32))</f>
        <v/>
      </c>
      <c r="L52" s="128"/>
      <c r="M52" s="129" t="str">
        <f>IF(OR($A52=0,N(M$15)=0),Blank,N(M49)/N(M32))</f>
        <v/>
      </c>
      <c r="N52" s="128"/>
      <c r="O52" s="129" t="str">
        <f>IF(OR($A52=0,N(O$15)=0),Blank,N(O49)/N(O32))</f>
        <v/>
      </c>
      <c r="P52" s="128"/>
      <c r="Q52" s="129" t="str">
        <f>IF(OR($A52=0,N(Q$15)=0),Blank,N(Q49)/N(Q32))</f>
        <v/>
      </c>
      <c r="R52" s="66"/>
      <c r="T52" s="22"/>
    </row>
    <row r="53" spans="1:20">
      <c r="C53" s="221" t="s">
        <v>128</v>
      </c>
      <c r="D53" s="51"/>
      <c r="E53" s="40"/>
      <c r="F53" s="40"/>
      <c r="G53" s="40"/>
      <c r="H53" s="40"/>
      <c r="I53" s="129"/>
      <c r="J53" s="128"/>
      <c r="K53" s="129"/>
      <c r="L53" s="128"/>
      <c r="M53" s="129"/>
      <c r="N53" s="128"/>
      <c r="O53" s="129"/>
      <c r="P53" s="128"/>
      <c r="Q53" s="129"/>
      <c r="R53" s="66"/>
      <c r="T53" s="22"/>
    </row>
    <row r="54" spans="1:20">
      <c r="A54" s="36">
        <f>IF(S1_stat&gt;0,1,0)</f>
        <v>0</v>
      </c>
      <c r="B54" s="36">
        <f>IF(S1_stat&gt;0,1,0)</f>
        <v>0</v>
      </c>
      <c r="C54" s="221" t="s">
        <v>128</v>
      </c>
      <c r="D54" s="51"/>
      <c r="E54" s="40" t="str">
        <f>IF(B54=1,"Boxes to purchase/lease",Notype)</f>
        <v>Not current</v>
      </c>
      <c r="F54" s="40"/>
      <c r="G54" s="40"/>
      <c r="H54" s="40"/>
      <c r="I54" s="129" t="str">
        <f>IF(OR($A54=0,N(I$15)=0),Blank,IF(S1_stat=2,N(I30),IF(((N(I49)+N(I50))-SUM($H54:H54))&gt;0,(N(I49)+N(I50))-SUM($H54:H54),0)))</f>
        <v/>
      </c>
      <c r="J54" s="128"/>
      <c r="K54" s="129" t="str">
        <f>IF(OR($A54=0,N(K$15)=0),Blank,IF(S1_stat=2,N(K30),IF(((N(K49)+N(K50))-SUM($H54:J54))&gt;0,(N(K49)+N(K50))-SUM($H54:J54),0)))</f>
        <v/>
      </c>
      <c r="L54" s="128"/>
      <c r="M54" s="129" t="str">
        <f>IF(OR($A54=0,N(M$15)=0),Blank,IF(S1_stat=2,N(M30),IF(((N(M49)+N(M50))-SUM($H54:L54))&gt;0,(N(M49)+N(M50))-SUM($H54:L54),0)))</f>
        <v/>
      </c>
      <c r="N54" s="128"/>
      <c r="O54" s="129" t="str">
        <f>IF(OR($A54=0,N(O$15)=0),Blank,IF(S1_stat=2,N(O30),IF(((N(O49)+N(O50))-SUM($H54:N54))&gt;0,(N(O49)+N(O50))-SUM($H54:N54),0)))</f>
        <v/>
      </c>
      <c r="P54" s="128"/>
      <c r="Q54" s="129" t="str">
        <f>IF(OR($A54=0,N(Q$15)=0),Blank,IF(S1_stat=2,N(Q30),IF(((N(Q49)+N(Q50))-SUM($H54:P54))&gt;0,(N(Q49)+N(Q50))-SUM($H54:P54),0)))</f>
        <v/>
      </c>
      <c r="R54" s="66"/>
      <c r="T54" s="22"/>
    </row>
    <row r="55" spans="1:20">
      <c r="A55" s="36">
        <f>IF(S1_stat&gt;0,1,0)</f>
        <v>0</v>
      </c>
      <c r="B55" s="36">
        <f>IF(S1_stat=1,1,0)</f>
        <v>0</v>
      </c>
      <c r="C55" s="221" t="s">
        <v>128</v>
      </c>
      <c r="D55" s="51"/>
      <c r="E55" s="40" t="str">
        <f>IF(B55=1,"Boxes in circulation",Notype)</f>
        <v>Not current</v>
      </c>
      <c r="F55" s="40"/>
      <c r="G55" s="40"/>
      <c r="H55" s="40"/>
      <c r="I55" s="129" t="str">
        <f>IF(OR($A55=0,$B55=0,I54=""),Blank,SUM($H54:H54)+N(I54))</f>
        <v/>
      </c>
      <c r="J55" s="128"/>
      <c r="K55" s="129" t="str">
        <f>IF(OR($A55=0,$B55=0,K54=""),Blank,SUM($H54:J54)+N(K54))</f>
        <v/>
      </c>
      <c r="L55" s="128"/>
      <c r="M55" s="129" t="str">
        <f>IF(OR($A55=0,$B55=0,M54=""),Blank,SUM($H54:L54)+N(M54))</f>
        <v/>
      </c>
      <c r="N55" s="128"/>
      <c r="O55" s="129" t="str">
        <f>IF(OR($A55=0,$B55=0,O54=""),Blank,SUM($H54:N54)+N(O54))</f>
        <v/>
      </c>
      <c r="P55" s="128"/>
      <c r="Q55" s="129" t="str">
        <f>IF(OR($A55=0,$B55=0,Q54=""),Blank,SUM($H54:P54)+N(Q54))</f>
        <v/>
      </c>
      <c r="R55" s="66"/>
      <c r="T55" s="22"/>
    </row>
    <row r="56" spans="1:20">
      <c r="C56" s="221" t="s">
        <v>128</v>
      </c>
      <c r="D56" s="51"/>
      <c r="E56" s="40"/>
      <c r="F56" s="40"/>
      <c r="G56" s="40"/>
      <c r="H56" s="40"/>
      <c r="I56" s="129"/>
      <c r="J56" s="128"/>
      <c r="K56" s="129"/>
      <c r="L56" s="128"/>
      <c r="M56" s="129"/>
      <c r="N56" s="128"/>
      <c r="O56" s="129"/>
      <c r="P56" s="128"/>
      <c r="Q56" s="129"/>
      <c r="R56" s="66"/>
      <c r="T56" s="22"/>
    </row>
    <row r="57" spans="1:20">
      <c r="A57" s="36">
        <f>IF(S1_stat&gt;0,1,0)</f>
        <v>0</v>
      </c>
      <c r="B57" s="36">
        <f>IF(S1_stat&gt;0,1,0)</f>
        <v>0</v>
      </c>
      <c r="C57" s="221" t="s">
        <v>128</v>
      </c>
      <c r="D57" s="51"/>
      <c r="E57" s="40" t="str">
        <f>IF(B57=1,"Cost boxes",Notype)</f>
        <v>Not current</v>
      </c>
      <c r="F57" s="40"/>
      <c r="G57" s="40" t="str">
        <f t="shared" ref="G57:G64" si="1">IF(B57=1,Currency,"")</f>
        <v/>
      </c>
      <c r="H57" s="40"/>
      <c r="I57" s="128" t="str">
        <f>IF(OR($A57=0,N(I$15)=0),Blank,(N(I54)*N(S1_box_price))+(N(I30)*N(S1_box_lease)))</f>
        <v/>
      </c>
      <c r="J57" s="128"/>
      <c r="K57" s="128" t="str">
        <f>IF(OR($A57=0,N(K$15)=0),Blank,(N(K54)*N(S1_box_price))+(N(K30)*N(S1_box_lease)))</f>
        <v/>
      </c>
      <c r="L57" s="128"/>
      <c r="M57" s="128" t="str">
        <f>IF(OR($A57=0,N(M$15)=0),Blank,(N(M54)*N(S1_box_price))+(N(M30)*N(S1_box_lease)))</f>
        <v/>
      </c>
      <c r="N57" s="128"/>
      <c r="O57" s="128" t="str">
        <f>IF(OR($A57=0,N(O$15)=0),Blank,(N(O54)*N(S1_box_price))+(N(O30)*N(S1_box_lease)))</f>
        <v/>
      </c>
      <c r="P57" s="128"/>
      <c r="Q57" s="128" t="str">
        <f>IF(OR($A57=0,N(Q$15)=0),Blank,(N(Q54)*N(S1_box_price))+(N(Q30)*N(S1_box_lease)))</f>
        <v/>
      </c>
      <c r="R57" s="66"/>
      <c r="T57" s="22"/>
    </row>
    <row r="58" spans="1:20">
      <c r="A58" s="36">
        <f>IF(S1_stat=1,1,0)</f>
        <v>0</v>
      </c>
      <c r="B58" s="36">
        <f t="shared" ref="B58:B64" si="2">IF(S1_stat&gt;0,1,0)</f>
        <v>0</v>
      </c>
      <c r="C58" s="221" t="s">
        <v>128</v>
      </c>
      <c r="D58" s="51"/>
      <c r="E58" s="55" t="str">
        <f>IF(B58=1,"Cost maintenance",Notype)</f>
        <v>Not current</v>
      </c>
      <c r="F58" s="55"/>
      <c r="G58" s="40" t="str">
        <f t="shared" si="1"/>
        <v/>
      </c>
      <c r="H58" s="40"/>
      <c r="I58" s="128" t="str">
        <f>IF(OR($A58=0,N(I$15)=0,N(I46)=0),Blank,N(I30)*N(S1_box_cost_main))</f>
        <v/>
      </c>
      <c r="J58" s="128"/>
      <c r="K58" s="128" t="str">
        <f>IF(OR($A58=0,N(K$15)=0,N(K46)=0),Blank,N(K30)*N(S1_box_cost_main))</f>
        <v/>
      </c>
      <c r="L58" s="128"/>
      <c r="M58" s="128" t="str">
        <f>IF(OR($A58=0,N(M$15)=0,N(M46)=0),Blank,N(M30)*N(S1_box_cost_main))</f>
        <v/>
      </c>
      <c r="N58" s="128"/>
      <c r="O58" s="128" t="str">
        <f>IF(OR($A58=0,N(O$15)=0,N(O46)=0),Blank,N(O30)*N(S1_box_cost_main))</f>
        <v/>
      </c>
      <c r="P58" s="128"/>
      <c r="Q58" s="128" t="str">
        <f>IF(OR($A58=0,N(Q$15)=0,N(Q46)=0),Blank,N(Q30)*N(S1_box_cost_main))</f>
        <v/>
      </c>
      <c r="R58" s="66"/>
      <c r="T58" s="22"/>
    </row>
    <row r="59" spans="1:20">
      <c r="A59" s="36">
        <f>IF(S1_stat&gt;0,1,0)</f>
        <v>0</v>
      </c>
      <c r="B59" s="36">
        <f t="shared" si="2"/>
        <v>0</v>
      </c>
      <c r="C59" s="221" t="s">
        <v>128</v>
      </c>
      <c r="D59" s="51"/>
      <c r="E59" s="55" t="str">
        <f>IF(B59=1,"Cost damage",Notype)</f>
        <v>Not current</v>
      </c>
      <c r="F59" s="55"/>
      <c r="G59" s="40" t="str">
        <f t="shared" si="1"/>
        <v/>
      </c>
      <c r="H59" s="40"/>
      <c r="I59" s="128" t="str">
        <f>IF(OR($A59=0,N(I$15)=0),Blank,I$15*N(S1_damage)*N(Item_cost))</f>
        <v/>
      </c>
      <c r="J59" s="128"/>
      <c r="K59" s="128" t="str">
        <f>IF(OR($A59=0,N(K$15)=0),Blank,K$15*N(S1_damage)*N(Item_cost))</f>
        <v/>
      </c>
      <c r="L59" s="128"/>
      <c r="M59" s="128" t="str">
        <f>IF(OR($A59=0,N(M$15)=0),Blank,M$15*N(S1_damage)*N(Item_cost))</f>
        <v/>
      </c>
      <c r="N59" s="128"/>
      <c r="O59" s="128" t="str">
        <f>IF(OR($A59=0,N(O$15)=0),Blank,O$15*N(S1_damage)*N(Item_cost))</f>
        <v/>
      </c>
      <c r="P59" s="128"/>
      <c r="Q59" s="128" t="str">
        <f>IF(OR($A59=0,N(Q$15)=0),Blank,Q$15*N(S1_damage)*N(Item_cost))</f>
        <v/>
      </c>
      <c r="R59" s="66"/>
      <c r="T59" s="22"/>
    </row>
    <row r="60" spans="1:20">
      <c r="A60" s="36">
        <f>IF(S1_stat&gt;0,1,0)</f>
        <v>0</v>
      </c>
      <c r="B60" s="36">
        <f t="shared" si="2"/>
        <v>0</v>
      </c>
      <c r="C60" s="221" t="s">
        <v>128</v>
      </c>
      <c r="D60" s="51"/>
      <c r="E60" s="55" t="str">
        <f>IF(B60=1,"Cost assembly",Notype)</f>
        <v>Not current</v>
      </c>
      <c r="F60" s="55"/>
      <c r="G60" s="40" t="str">
        <f t="shared" si="1"/>
        <v/>
      </c>
      <c r="H60" s="40"/>
      <c r="I60" s="128" t="str">
        <f>IF(OR($A60=0,N(I$15)=0),Blank,N(I30)*N(S1_box_cost_assem))</f>
        <v/>
      </c>
      <c r="J60" s="128"/>
      <c r="K60" s="128" t="str">
        <f>IF(OR($A60=0,N(K$15)=0),Blank,N(K30)*N(S1_box_cost_assem))</f>
        <v/>
      </c>
      <c r="L60" s="128"/>
      <c r="M60" s="128" t="str">
        <f>IF(OR($A60=0,N(M$15)=0),Blank,N(M30)*N(S1_box_cost_assem))</f>
        <v/>
      </c>
      <c r="N60" s="128"/>
      <c r="O60" s="128" t="str">
        <f>IF(OR($A60=0,N(O$15)=0),Blank,N(O30)*N(S1_box_cost_assem))</f>
        <v/>
      </c>
      <c r="P60" s="128"/>
      <c r="Q60" s="128" t="str">
        <f>IF(OR($A60=0,N(Q$15)=0),Blank,N(Q30)*N(S1_box_cost_assem))</f>
        <v/>
      </c>
      <c r="R60" s="66"/>
      <c r="T60" s="22"/>
    </row>
    <row r="61" spans="1:20">
      <c r="A61" s="36">
        <f>IF(S1_stat&gt;0,1,0)</f>
        <v>0</v>
      </c>
      <c r="B61" s="36">
        <f t="shared" si="2"/>
        <v>0</v>
      </c>
      <c r="C61" s="221" t="s">
        <v>128</v>
      </c>
      <c r="D61" s="51"/>
      <c r="E61" s="55" t="str">
        <f>IF(B61=1,"Cost transport sending",Notype)</f>
        <v>Not current</v>
      </c>
      <c r="F61" s="55"/>
      <c r="G61" s="40" t="str">
        <f t="shared" si="1"/>
        <v/>
      </c>
      <c r="H61" s="40"/>
      <c r="I61" s="128" t="str">
        <f>IF(OR($A61=0,N(I$15)=0),Blank,N(I33)*N(S1_cost_send))</f>
        <v/>
      </c>
      <c r="J61" s="128"/>
      <c r="K61" s="128" t="str">
        <f>IF(OR($A61=0,N(K$15)=0),Blank,N(K33)*N(S1_cost_send))</f>
        <v/>
      </c>
      <c r="L61" s="128"/>
      <c r="M61" s="128" t="str">
        <f>IF(OR($A61=0,N(M$15)=0),Blank,N(M33)*N(S1_cost_send))</f>
        <v/>
      </c>
      <c r="N61" s="128"/>
      <c r="O61" s="128" t="str">
        <f>IF(OR($A61=0,N(O$15)=0),Blank,N(O33)*N(S1_cost_send))</f>
        <v/>
      </c>
      <c r="P61" s="128"/>
      <c r="Q61" s="128" t="str">
        <f>IF(OR($A61=0,N(Q$15)=0),Blank,N(Q33)*N(S1_cost_send))</f>
        <v/>
      </c>
      <c r="R61" s="66"/>
      <c r="T61" s="22"/>
    </row>
    <row r="62" spans="1:20">
      <c r="A62" s="36">
        <f>IF(S1_stat=1,1,0)</f>
        <v>0</v>
      </c>
      <c r="B62" s="36">
        <f t="shared" si="2"/>
        <v>0</v>
      </c>
      <c r="C62" s="221" t="s">
        <v>128</v>
      </c>
      <c r="D62" s="51"/>
      <c r="E62" s="55" t="str">
        <f>IF(B62=1,"Cost transport return",Notype)</f>
        <v>Not current</v>
      </c>
      <c r="F62" s="55"/>
      <c r="G62" s="40" t="str">
        <f t="shared" si="1"/>
        <v/>
      </c>
      <c r="H62" s="40"/>
      <c r="I62" s="128" t="str">
        <f>IF(OR($A62=0,N(I$15)=0),Blank,N(I36)*N(S1_cost_return))</f>
        <v/>
      </c>
      <c r="J62" s="128"/>
      <c r="K62" s="128" t="str">
        <f>IF(OR($A62=0,N(K$15)=0),Blank,N(K36)*N(S1_cost_return))</f>
        <v/>
      </c>
      <c r="L62" s="128"/>
      <c r="M62" s="128" t="str">
        <f>IF(OR($A62=0,N(M$15)=0),Blank,N(M36)*N(S1_cost_return))</f>
        <v/>
      </c>
      <c r="N62" s="128"/>
      <c r="O62" s="128" t="str">
        <f>IF(OR($A62=0,N(O$15)=0),Blank,N(O36)*N(S1_cost_return))</f>
        <v/>
      </c>
      <c r="P62" s="128"/>
      <c r="Q62" s="128" t="str">
        <f>IF(OR($A62=0,N(Q$15)=0),Blank,N(Q36)*N(S1_cost_return))</f>
        <v/>
      </c>
      <c r="R62" s="66"/>
      <c r="T62" s="22"/>
    </row>
    <row r="63" spans="1:20">
      <c r="A63" s="36">
        <f>IF(S1_stat&gt;0,1,0)</f>
        <v>0</v>
      </c>
      <c r="B63" s="36">
        <f t="shared" si="2"/>
        <v>0</v>
      </c>
      <c r="C63" s="221" t="s">
        <v>128</v>
      </c>
      <c r="D63" s="51"/>
      <c r="E63" s="55" t="str">
        <f>IF(B63=1,"Cost total per year",Notype)</f>
        <v>Not current</v>
      </c>
      <c r="F63" s="55"/>
      <c r="G63" s="40" t="str">
        <f t="shared" si="1"/>
        <v/>
      </c>
      <c r="H63" s="40"/>
      <c r="I63" s="132" t="str">
        <f>IF(OR($A63=0,N(I$15)=0),Blank,SUM(I57:I62))</f>
        <v/>
      </c>
      <c r="J63" s="128"/>
      <c r="K63" s="132" t="str">
        <f>IF(OR($A63=0,N(K$15)=0),Blank,SUM(K57:K62))</f>
        <v/>
      </c>
      <c r="L63" s="128"/>
      <c r="M63" s="132" t="str">
        <f>IF(OR($A63=0,N(M$15)=0),Blank,SUM(M57:M62))</f>
        <v/>
      </c>
      <c r="N63" s="128"/>
      <c r="O63" s="132" t="str">
        <f>IF(OR($A63=0,N(O$15)=0),Blank,SUM(O57:O62))</f>
        <v/>
      </c>
      <c r="P63" s="128"/>
      <c r="Q63" s="132" t="str">
        <f>IF(OR($A63=0,N(Q$15)=0),Blank,SUM(Q57:Q62))</f>
        <v/>
      </c>
      <c r="R63" s="66"/>
      <c r="T63" s="22"/>
    </row>
    <row r="64" spans="1:20">
      <c r="A64" s="36">
        <f>IF(S1_stat&gt;0,1,0)</f>
        <v>0</v>
      </c>
      <c r="B64" s="36">
        <f t="shared" si="2"/>
        <v>0</v>
      </c>
      <c r="C64" s="221" t="s">
        <v>128</v>
      </c>
      <c r="D64" s="51"/>
      <c r="E64" s="55" t="str">
        <f>IF(B64=1,"Cost total accumulated",Notype)</f>
        <v>Not current</v>
      </c>
      <c r="F64" s="55"/>
      <c r="G64" s="40" t="str">
        <f t="shared" si="1"/>
        <v/>
      </c>
      <c r="H64" s="40"/>
      <c r="I64" s="128" t="str">
        <f>IF(OR($A64=0,N(I$15)=0),Blank,SUM($H63:H63)+N(I63))</f>
        <v/>
      </c>
      <c r="J64" s="128"/>
      <c r="K64" s="128" t="str">
        <f>IF(OR($A64=0,N(K$15)=0),Blank,SUM($H63:J63)+N(K63))</f>
        <v/>
      </c>
      <c r="L64" s="128"/>
      <c r="M64" s="128" t="str">
        <f>IF(OR($A64=0,N(M$15)=0),Blank,SUM($H63:L63)+N(M63))</f>
        <v/>
      </c>
      <c r="N64" s="128"/>
      <c r="O64" s="128" t="str">
        <f>IF(OR($A64=0,N(O$15)=0),Blank,SUM($H63:N63)+N(O63))</f>
        <v/>
      </c>
      <c r="P64" s="128"/>
      <c r="Q64" s="128" t="str">
        <f>IF(OR($A64=0,N(Q$15)=0),Blank,SUM($H63:P63)+N(Q63))</f>
        <v/>
      </c>
      <c r="R64" s="66"/>
      <c r="T64" s="22"/>
    </row>
    <row r="65" spans="1:20" ht="13.5" thickBot="1">
      <c r="C65" s="221" t="s">
        <v>128</v>
      </c>
      <c r="D65" s="59"/>
      <c r="E65" s="85"/>
      <c r="F65" s="85"/>
      <c r="G65" s="60"/>
      <c r="H65" s="60"/>
      <c r="I65" s="156"/>
      <c r="J65" s="156"/>
      <c r="K65" s="156"/>
      <c r="L65" s="156"/>
      <c r="M65" s="156"/>
      <c r="N65" s="156"/>
      <c r="O65" s="156"/>
      <c r="P65" s="156"/>
      <c r="Q65" s="156"/>
      <c r="R65" s="153"/>
      <c r="T65" s="23"/>
    </row>
    <row r="66" spans="1:20">
      <c r="C66" s="220" t="s">
        <v>129</v>
      </c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51"/>
      <c r="T66" s="22"/>
    </row>
    <row r="67" spans="1:20" ht="15.75">
      <c r="B67" s="36">
        <f>IF(S2_stat&gt;0,1,0)</f>
        <v>0</v>
      </c>
      <c r="C67" s="220" t="s">
        <v>129</v>
      </c>
      <c r="D67" s="51"/>
      <c r="E67" s="79" t="str">
        <f>"Study 2: "&amp;IF(B67=1,S2_type&amp;" "&amp;LOWER(S2_box)&amp;" box",Notype)</f>
        <v>Study 2: Not current</v>
      </c>
      <c r="F67" s="79"/>
      <c r="G67" s="52"/>
      <c r="H67" s="52"/>
      <c r="I67" s="40"/>
      <c r="J67" s="40"/>
      <c r="K67" s="40"/>
      <c r="L67" s="40"/>
      <c r="M67" s="40"/>
      <c r="N67" s="40"/>
      <c r="O67" s="40"/>
      <c r="P67" s="40"/>
      <c r="Q67" s="40"/>
      <c r="R67" s="66"/>
      <c r="T67" s="22"/>
    </row>
    <row r="68" spans="1:20" ht="12.75" customHeight="1">
      <c r="C68" s="220" t="s">
        <v>129</v>
      </c>
      <c r="D68" s="51"/>
      <c r="E68" s="79"/>
      <c r="F68" s="79"/>
      <c r="G68" s="52"/>
      <c r="H68" s="52"/>
      <c r="I68" s="40"/>
      <c r="J68" s="40"/>
      <c r="K68" s="40"/>
      <c r="L68" s="40"/>
      <c r="M68" s="40"/>
      <c r="N68" s="40"/>
      <c r="O68" s="40"/>
      <c r="P68" s="40"/>
      <c r="Q68" s="40"/>
      <c r="R68" s="66"/>
      <c r="T68" s="22"/>
    </row>
    <row r="69" spans="1:20" ht="12.75" customHeight="1">
      <c r="A69" s="36">
        <f>IF(S2_stat&gt;0,1,0)</f>
        <v>0</v>
      </c>
      <c r="B69" s="36">
        <f>IF(S2_stat&gt;0,1,0)</f>
        <v>0</v>
      </c>
      <c r="C69" s="220" t="s">
        <v>129</v>
      </c>
      <c r="D69" s="51"/>
      <c r="E69" s="55" t="str">
        <f>IF(B69=1,"Items per box",Notype)</f>
        <v>Not current</v>
      </c>
      <c r="F69" s="55"/>
      <c r="G69" s="55"/>
      <c r="H69" s="55"/>
      <c r="I69" s="128" t="str">
        <f>IF(OR($A69=0,N(I$15)=0),Blank,S2_box_item)</f>
        <v/>
      </c>
      <c r="J69" s="128"/>
      <c r="K69" s="128" t="str">
        <f>IF(OR($A69=0,N(K$15)=0),Blank,S2_box_item)</f>
        <v/>
      </c>
      <c r="L69" s="128"/>
      <c r="M69" s="128" t="str">
        <f>IF(OR($A69=0,N(M$15)=0),Blank,S2_box_item)</f>
        <v/>
      </c>
      <c r="N69" s="128"/>
      <c r="O69" s="128" t="str">
        <f>IF(OR($A69=0,N(O$15)=0),Blank,S2_box_item)</f>
        <v/>
      </c>
      <c r="P69" s="128"/>
      <c r="Q69" s="128" t="str">
        <f>IF(OR($A69=0,N(Q$15)=0),Blank,S2_box_item)</f>
        <v/>
      </c>
      <c r="R69" s="66"/>
      <c r="T69" s="22"/>
    </row>
    <row r="70" spans="1:20">
      <c r="A70" s="36">
        <f>IF(S2_stat&gt;0,1,0)</f>
        <v>0</v>
      </c>
      <c r="B70" s="36">
        <f>IF(S2_stat&gt;0,1,0)</f>
        <v>0</v>
      </c>
      <c r="C70" s="220" t="s">
        <v>129</v>
      </c>
      <c r="D70" s="51"/>
      <c r="E70" s="40" t="str">
        <f>IF(B70=1,"Boxes to be sent",Notype)</f>
        <v>Not current</v>
      </c>
      <c r="F70" s="40"/>
      <c r="G70" s="40"/>
      <c r="H70" s="40"/>
      <c r="I70" s="129" t="str">
        <f>IF(OR($A70=0,N(I69)=0),Blank,I$15/I69)</f>
        <v/>
      </c>
      <c r="J70" s="128"/>
      <c r="K70" s="129" t="str">
        <f>IF(OR($A70=0,N(K69)=0),Blank,K$15/K69)</f>
        <v/>
      </c>
      <c r="L70" s="128"/>
      <c r="M70" s="129" t="str">
        <f>IF(OR($A70=0,N(M69)=0),Blank,M$15/M69)</f>
        <v/>
      </c>
      <c r="N70" s="128"/>
      <c r="O70" s="129" t="str">
        <f>IF(OR($A70=0,N(O69)=0),Blank,O$15/O69)</f>
        <v/>
      </c>
      <c r="P70" s="128"/>
      <c r="Q70" s="129" t="str">
        <f>IF(OR($A70=0,N(Q69)=0),Blank,Q$15/Q69)</f>
        <v/>
      </c>
      <c r="R70" s="66"/>
      <c r="T70" s="22"/>
    </row>
    <row r="71" spans="1:20">
      <c r="C71" s="220" t="s">
        <v>129</v>
      </c>
      <c r="D71" s="51"/>
      <c r="E71" s="40"/>
      <c r="F71" s="40"/>
      <c r="G71" s="40"/>
      <c r="H71" s="40"/>
      <c r="I71" s="128"/>
      <c r="J71" s="128"/>
      <c r="K71" s="128"/>
      <c r="L71" s="128"/>
      <c r="M71" s="128"/>
      <c r="N71" s="128"/>
      <c r="O71" s="128"/>
      <c r="P71" s="128"/>
      <c r="Q71" s="128"/>
      <c r="R71" s="66"/>
      <c r="T71" s="22"/>
    </row>
    <row r="72" spans="1:20">
      <c r="A72" s="36">
        <f>IF(S2_stat&gt;0,1,0)</f>
        <v>0</v>
      </c>
      <c r="B72" s="36">
        <f>IF(S2_stat&gt;0,1,0)</f>
        <v>0</v>
      </c>
      <c r="C72" s="220" t="s">
        <v>129</v>
      </c>
      <c r="D72" s="51"/>
      <c r="E72" s="55" t="str">
        <f>IF(B72=1,"Boxes per sent "&amp;LOWER(S2_trans_send),Notype)</f>
        <v>Not current</v>
      </c>
      <c r="F72" s="55"/>
      <c r="G72" s="55"/>
      <c r="H72" s="55"/>
      <c r="I72" s="128" t="str">
        <f>IF(OR($A72=0,N(I$15)=0),Blank,N(S2_box_trans_send))</f>
        <v/>
      </c>
      <c r="J72" s="128"/>
      <c r="K72" s="128" t="str">
        <f>IF(OR($A72=0,N(K$15)=0),Blank,N(S2_box_trans_send))</f>
        <v/>
      </c>
      <c r="L72" s="128"/>
      <c r="M72" s="128" t="str">
        <f>IF(OR($A72=0,N(M$15)=0),Blank,N(S2_box_trans_send))</f>
        <v/>
      </c>
      <c r="N72" s="128"/>
      <c r="O72" s="128" t="str">
        <f>IF(OR($A72=0,N(O$15)=0),Blank,N(S2_box_trans_send))</f>
        <v/>
      </c>
      <c r="P72" s="128"/>
      <c r="Q72" s="128" t="str">
        <f>IF(OR($A72=0,N(Q$15)=0),Blank,N(S2_box_trans_send))</f>
        <v/>
      </c>
      <c r="R72" s="66"/>
      <c r="T72" s="155"/>
    </row>
    <row r="73" spans="1:20">
      <c r="A73" s="36">
        <f>IF(S2_stat&gt;0,1,0)</f>
        <v>0</v>
      </c>
      <c r="B73" s="36">
        <f>IF(S2_stat&gt;0,1,0)</f>
        <v>0</v>
      </c>
      <c r="C73" s="220" t="s">
        <v>129</v>
      </c>
      <c r="D73" s="51"/>
      <c r="E73" s="40" t="str">
        <f>IF(B73=1,S2_trans_send&amp;"s to be sent",Notype)</f>
        <v>Not current</v>
      </c>
      <c r="F73" s="40"/>
      <c r="G73" s="40"/>
      <c r="H73" s="40"/>
      <c r="I73" s="129" t="str">
        <f>IF(OR($A73=0,N(I72)=0),Blank,N(I70)/N(I72))</f>
        <v/>
      </c>
      <c r="J73" s="128"/>
      <c r="K73" s="129" t="str">
        <f>IF(OR($A73=0,N(K72)=0),Blank,N(K70)/N(K72))</f>
        <v/>
      </c>
      <c r="L73" s="128"/>
      <c r="M73" s="129" t="str">
        <f>IF(OR($A73=0,N(M72)=0),Blank,N(M70)/N(M72))</f>
        <v/>
      </c>
      <c r="N73" s="128"/>
      <c r="O73" s="129" t="str">
        <f>IF(OR($A73=0,N(O72)=0),Blank,N(O70)/N(O72))</f>
        <v/>
      </c>
      <c r="P73" s="128"/>
      <c r="Q73" s="129" t="str">
        <f>IF(OR($A73=0,N(Q72)=0),Blank,N(Q70)/N(Q72))</f>
        <v/>
      </c>
      <c r="R73" s="66"/>
      <c r="T73" s="22"/>
    </row>
    <row r="74" spans="1:20">
      <c r="C74" s="220" t="s">
        <v>129</v>
      </c>
      <c r="D74" s="51"/>
      <c r="E74" s="40"/>
      <c r="F74" s="40"/>
      <c r="G74" s="40"/>
      <c r="H74" s="40"/>
      <c r="I74" s="128"/>
      <c r="J74" s="128"/>
      <c r="K74" s="128"/>
      <c r="L74" s="128"/>
      <c r="M74" s="128"/>
      <c r="N74" s="128"/>
      <c r="O74" s="128"/>
      <c r="P74" s="128"/>
      <c r="Q74" s="128"/>
      <c r="R74" s="66"/>
      <c r="T74" s="22"/>
    </row>
    <row r="75" spans="1:20">
      <c r="A75" s="36">
        <f>IF(S2_stat=1,1,0)</f>
        <v>0</v>
      </c>
      <c r="B75" s="36">
        <f>IF(S2_stat=1,1,0)</f>
        <v>0</v>
      </c>
      <c r="C75" s="220" t="s">
        <v>129</v>
      </c>
      <c r="D75" s="51"/>
      <c r="E75" s="55" t="str">
        <f>IF(B75=1,"Collapsed boxes per returned "&amp;LOWER(S2_trans_return),Notype)</f>
        <v>Not current</v>
      </c>
      <c r="F75" s="55"/>
      <c r="G75" s="55"/>
      <c r="H75" s="55"/>
      <c r="I75" s="128" t="str">
        <f>IF(OR($A75=0,N(I$15)=0),Blank,S2_box_trans_return)</f>
        <v/>
      </c>
      <c r="J75" s="128"/>
      <c r="K75" s="128" t="str">
        <f>IF(OR($A75=0,N(K$15)=0),Blank,S2_box_trans_return)</f>
        <v/>
      </c>
      <c r="L75" s="128"/>
      <c r="M75" s="128" t="str">
        <f>IF(OR($A75=0,N(M$15)=0),Blank,S2_box_trans_return)</f>
        <v/>
      </c>
      <c r="N75" s="128"/>
      <c r="O75" s="128" t="str">
        <f>IF(OR($A75=0,N(O$15)=0),Blank,S2_box_trans_return)</f>
        <v/>
      </c>
      <c r="P75" s="128"/>
      <c r="Q75" s="128" t="str">
        <f>IF(OR($A75=0,N(Q$15)=0),Blank,S2_box_trans_return)</f>
        <v/>
      </c>
      <c r="R75" s="66"/>
      <c r="T75" s="155"/>
    </row>
    <row r="76" spans="1:20">
      <c r="A76" s="36">
        <f>IF(S2_stat=1,1,0)</f>
        <v>0</v>
      </c>
      <c r="B76" s="36">
        <f>IF(S2_stat=1,1,0)</f>
        <v>0</v>
      </c>
      <c r="C76" s="220" t="s">
        <v>129</v>
      </c>
      <c r="D76" s="51"/>
      <c r="E76" s="40" t="str">
        <f>IF(B76=1,S2_trans_return&amp;"s to be returned",Notype)</f>
        <v>Not current</v>
      </c>
      <c r="F76" s="40"/>
      <c r="G76" s="40"/>
      <c r="H76" s="40"/>
      <c r="I76" s="129" t="str">
        <f>IF(OR($A76=0,N(I75)=0),Blank,N(I70)/N(I75))</f>
        <v/>
      </c>
      <c r="J76" s="128"/>
      <c r="K76" s="129" t="str">
        <f>IF(OR($A76=0,N(K75)=0),Blank,N(K70)/N(K75))</f>
        <v/>
      </c>
      <c r="L76" s="128"/>
      <c r="M76" s="129" t="str">
        <f>IF(OR($A76=0,N(M75)=0),Blank,N(M70)/N(M75))</f>
        <v/>
      </c>
      <c r="N76" s="128"/>
      <c r="O76" s="129" t="str">
        <f>IF(OR($A76=0,N(O75)=0),Blank,N(O70)/N(O75))</f>
        <v/>
      </c>
      <c r="P76" s="128"/>
      <c r="Q76" s="129" t="str">
        <f>IF(OR($A76=0,N(Q75)=0),Blank,N(Q70)/N(Q75))</f>
        <v/>
      </c>
      <c r="R76" s="66"/>
      <c r="T76" s="22"/>
    </row>
    <row r="77" spans="1:20">
      <c r="C77" s="220" t="s">
        <v>129</v>
      </c>
      <c r="D77" s="51"/>
      <c r="E77" s="40"/>
      <c r="F77" s="40"/>
      <c r="G77" s="40"/>
      <c r="H77" s="40"/>
      <c r="I77" s="129"/>
      <c r="J77" s="128"/>
      <c r="K77" s="129"/>
      <c r="L77" s="128"/>
      <c r="M77" s="129"/>
      <c r="N77" s="128"/>
      <c r="O77" s="129"/>
      <c r="P77" s="128"/>
      <c r="Q77" s="129"/>
      <c r="R77" s="66"/>
      <c r="T77" s="22"/>
    </row>
    <row r="78" spans="1:20">
      <c r="B78" s="36">
        <f>IF(S2_stat=1,1,0)</f>
        <v>0</v>
      </c>
      <c r="C78" s="220" t="s">
        <v>129</v>
      </c>
      <c r="D78" s="51"/>
      <c r="E78" s="68" t="str">
        <f>IF(B78=1,CHOOSE(S2_batch_method+1,"Method of batch handling missing","Awaiting batch handling;","Continuously batch handling"),Notype)</f>
        <v>Not current</v>
      </c>
      <c r="F78" s="40"/>
      <c r="G78" s="40"/>
      <c r="H78" s="40"/>
      <c r="I78" s="128"/>
      <c r="J78" s="128"/>
      <c r="K78" s="128"/>
      <c r="L78" s="128"/>
      <c r="M78" s="128"/>
      <c r="N78" s="128"/>
      <c r="O78" s="128"/>
      <c r="P78" s="128"/>
      <c r="Q78" s="128"/>
      <c r="R78" s="66"/>
      <c r="T78" s="22"/>
    </row>
    <row r="79" spans="1:20">
      <c r="C79" s="220" t="s">
        <v>129</v>
      </c>
      <c r="D79" s="51"/>
      <c r="E79" s="68"/>
      <c r="F79" s="40"/>
      <c r="G79" s="40"/>
      <c r="H79" s="40"/>
      <c r="I79" s="128"/>
      <c r="J79" s="128"/>
      <c r="K79" s="128"/>
      <c r="L79" s="128"/>
      <c r="M79" s="128"/>
      <c r="N79" s="128"/>
      <c r="O79" s="128"/>
      <c r="P79" s="128"/>
      <c r="Q79" s="128"/>
      <c r="R79" s="66"/>
      <c r="T79" s="22"/>
    </row>
    <row r="80" spans="1:20">
      <c r="A80" s="36">
        <f t="shared" ref="A80:B84" si="3">IF(S2_stat=1,1,0)</f>
        <v>0</v>
      </c>
      <c r="B80" s="36">
        <f t="shared" si="3"/>
        <v>0</v>
      </c>
      <c r="C80" s="220" t="s">
        <v>129</v>
      </c>
      <c r="D80" s="51"/>
      <c r="E80" s="93" t="str">
        <f>IF(B80=1,"Handling time at sender",Notype)</f>
        <v>Not current</v>
      </c>
      <c r="F80" s="40"/>
      <c r="G80" s="40" t="str">
        <f>IF(B80=1,"days","")</f>
        <v/>
      </c>
      <c r="H80" s="40"/>
      <c r="I80" s="71" t="str">
        <f>IF(OR($A80=0,N(I$15)=0,N(S2_time_total)=0),Blank,IF(S2_batch_size=0,S2_time_hand,S2_time_hand*I$15/S2_batch_size))</f>
        <v/>
      </c>
      <c r="J80" s="128"/>
      <c r="K80" s="71" t="str">
        <f>IF(OR($A80=0,N(K$15)=0,N(S2_time_total)=0),Blank,IF(S2_batch_size=0,S2_time_hand,S2_time_hand*K$15/S2_batch_size))</f>
        <v/>
      </c>
      <c r="L80" s="128"/>
      <c r="M80" s="71" t="str">
        <f>IF(OR($A80=0,N(M$15)=0,N(S2_time_total)=0),Blank,IF(S2_batch_size=0,S2_time_hand,S2_time_hand*M$15/S2_batch_size))</f>
        <v/>
      </c>
      <c r="N80" s="128"/>
      <c r="O80" s="71" t="str">
        <f>IF(OR($A80=0,N(O$15)=0,N(S2_time_total)=0),Blank,IF(S2_batch_size=0,S2_time_hand,S2_time_hand*O$15/S2_batch_size))</f>
        <v/>
      </c>
      <c r="P80" s="128"/>
      <c r="Q80" s="71" t="str">
        <f>IF(OR($A80=0,N(Q$15)=0,N(S2_time_total)=0),Blank,IF(S2_batch_size=0,S2_time_hand,S2_time_hand*Q$15/S2_batch_size))</f>
        <v/>
      </c>
      <c r="R80" s="66"/>
      <c r="T80" s="22"/>
    </row>
    <row r="81" spans="1:20">
      <c r="A81" s="36">
        <f t="shared" si="3"/>
        <v>0</v>
      </c>
      <c r="B81" s="36">
        <f t="shared" si="3"/>
        <v>0</v>
      </c>
      <c r="C81" s="220" t="s">
        <v>129</v>
      </c>
      <c r="D81" s="51"/>
      <c r="E81" s="93" t="str">
        <f>IF(B81=1,"Transport to receiver",Notype)</f>
        <v>Not current</v>
      </c>
      <c r="F81" s="40"/>
      <c r="G81" s="40" t="str">
        <f>IF(B81=1,"days","")</f>
        <v/>
      </c>
      <c r="H81" s="40"/>
      <c r="I81" s="71" t="str">
        <f>IF(OR($A81=0,N(I$15)=0,N(S2_time_total)=0),Blank,S2_time_send)</f>
        <v/>
      </c>
      <c r="J81" s="128"/>
      <c r="K81" s="71" t="str">
        <f>IF(OR($A81=0,N(K$15)=0,N(S2_time_total)=0),Blank,S2_time_send)</f>
        <v/>
      </c>
      <c r="L81" s="128"/>
      <c r="M81" s="71" t="str">
        <f>IF(OR($A81=0,N(M$15)=0,N(S2_time_total)=0),Blank,S2_time_send)</f>
        <v/>
      </c>
      <c r="N81" s="128"/>
      <c r="O81" s="71" t="str">
        <f>IF(OR($A81=0,N(O$15)=0,N(S2_time_total)=0),Blank,S2_time_send)</f>
        <v/>
      </c>
      <c r="P81" s="128"/>
      <c r="Q81" s="71" t="str">
        <f>IF(OR($A81=0,N(Q$15)=0,N(S2_time_total)=0),Blank,S2_time_send)</f>
        <v/>
      </c>
      <c r="R81" s="66"/>
      <c r="T81" s="22"/>
    </row>
    <row r="82" spans="1:20">
      <c r="A82" s="36">
        <f t="shared" si="3"/>
        <v>0</v>
      </c>
      <c r="B82" s="36">
        <f t="shared" si="3"/>
        <v>0</v>
      </c>
      <c r="C82" s="220" t="s">
        <v>129</v>
      </c>
      <c r="D82" s="51"/>
      <c r="E82" s="93" t="str">
        <f>IF(B82=1,"Handling time at receiver",Notype)</f>
        <v>Not current</v>
      </c>
      <c r="F82" s="40"/>
      <c r="G82" s="40" t="str">
        <f>IF(B82=1,"days","")</f>
        <v/>
      </c>
      <c r="H82" s="40"/>
      <c r="I82" s="71" t="str">
        <f>IF(OR($A82=0,N(I$15)=0,N(S2_time_total)=0),Blank,IF(S2_batch_size=0,S2_time_receiver,S2_time_receiver*I$15/S2_batch_size))</f>
        <v/>
      </c>
      <c r="J82" s="128"/>
      <c r="K82" s="71" t="str">
        <f>IF(OR($A82=0,N(K$15)=0,N(S2_time_total)=0),Blank,IF(S2_batch_size=0,S2_time_receiver,S2_time_receiver*K$15/S2_batch_size))</f>
        <v/>
      </c>
      <c r="L82" s="128"/>
      <c r="M82" s="71" t="str">
        <f>IF(OR($A82=0,N(M$15)=0,N(S2_time_total)=0),Blank,IF(S2_batch_size=0,S2_time_receiver,S2_time_receiver*M$15/S2_batch_size))</f>
        <v/>
      </c>
      <c r="N82" s="128"/>
      <c r="O82" s="71" t="str">
        <f>IF(OR($A82=0,N(O$15)=0,N(S2_time_total)=0),Blank,IF(S2_batch_size=0,S2_time_receiver,S2_time_receiver*O$15/S2_batch_size))</f>
        <v/>
      </c>
      <c r="P82" s="128"/>
      <c r="Q82" s="71" t="str">
        <f>IF(OR($A82=0,N(Q$15)=0,N(S2_time_total)=0),Blank,IF(S2_batch_size=0,S2_time_receiver,S2_time_receiver*Q$15/S2_batch_size))</f>
        <v/>
      </c>
      <c r="R82" s="66"/>
      <c r="T82" s="22"/>
    </row>
    <row r="83" spans="1:20">
      <c r="A83" s="36">
        <f t="shared" si="3"/>
        <v>0</v>
      </c>
      <c r="B83" s="36">
        <f t="shared" si="3"/>
        <v>0</v>
      </c>
      <c r="C83" s="220" t="s">
        <v>129</v>
      </c>
      <c r="D83" s="51"/>
      <c r="E83" s="93" t="str">
        <f>IF(B83=1,"Return transport to sender",Notype)</f>
        <v>Not current</v>
      </c>
      <c r="F83" s="40"/>
      <c r="G83" s="40" t="str">
        <f>IF(B83=1,"days","")</f>
        <v/>
      </c>
      <c r="H83" s="40"/>
      <c r="I83" s="71" t="str">
        <f>IF(OR($A83=0,N(I$15)=0,N(S2_time_total)=0),Blank,S2_time_return)</f>
        <v/>
      </c>
      <c r="J83" s="128"/>
      <c r="K83" s="71" t="str">
        <f>IF(OR($A83=0,N(K$15)=0,N(S2_time_total)=0),Blank,S2_time_return)</f>
        <v/>
      </c>
      <c r="L83" s="128"/>
      <c r="M83" s="71" t="str">
        <f>IF(OR($A83=0,N(M$15)=0,N(S2_time_total)=0),Blank,S2_time_return)</f>
        <v/>
      </c>
      <c r="N83" s="128"/>
      <c r="O83" s="71" t="str">
        <f>IF(OR($A83=0,N(O$15)=0,N(S2_time_total)=0),Blank,S2_time_return)</f>
        <v/>
      </c>
      <c r="P83" s="128"/>
      <c r="Q83" s="71" t="str">
        <f>IF(OR($A83=0,N(Q$15)=0,N(S2_time_total)=0),Blank,S2_time_return)</f>
        <v/>
      </c>
      <c r="R83" s="66"/>
      <c r="T83" s="22"/>
    </row>
    <row r="84" spans="1:20">
      <c r="A84" s="36">
        <f t="shared" si="3"/>
        <v>0</v>
      </c>
      <c r="B84" s="36">
        <f t="shared" si="3"/>
        <v>0</v>
      </c>
      <c r="C84" s="220" t="s">
        <v>129</v>
      </c>
      <c r="D84" s="51"/>
      <c r="E84" s="93" t="str">
        <f>IF(B84=1,"Total engaded time",Notype)</f>
        <v>Not current</v>
      </c>
      <c r="F84" s="40"/>
      <c r="G84" s="40" t="str">
        <f>IF(B84=1,"days","")</f>
        <v/>
      </c>
      <c r="H84" s="40"/>
      <c r="I84" s="70" t="str">
        <f>IF(OR($A84=0,N(I$15)=0,N(S2_time_total)=0),Blank,SUM(I80:I83))</f>
        <v/>
      </c>
      <c r="J84" s="128"/>
      <c r="K84" s="70" t="str">
        <f>IF(OR($A84=0,N(K$15)=0,N(S2_time_total)=0),Blank,SUM(K80:K83))</f>
        <v/>
      </c>
      <c r="L84" s="128"/>
      <c r="M84" s="70" t="str">
        <f>IF(OR($A84=0,N(M$15)=0,N(S2_time_total)=0),Blank,SUM(M80:M83))</f>
        <v/>
      </c>
      <c r="N84" s="128"/>
      <c r="O84" s="70" t="str">
        <f>IF(OR($A84=0,N(O$15)=0,N(S2_time_total)=0),Blank,SUM(O80:O83))</f>
        <v/>
      </c>
      <c r="P84" s="128"/>
      <c r="Q84" s="70" t="str">
        <f>IF(OR($A84=0,N(Q$15)=0,N(S2_time_total)=0),Blank,SUM(Q80:Q83))</f>
        <v/>
      </c>
      <c r="R84" s="66"/>
      <c r="T84" s="22"/>
    </row>
    <row r="85" spans="1:20">
      <c r="C85" s="220" t="s">
        <v>129</v>
      </c>
      <c r="D85" s="51"/>
      <c r="E85" s="93"/>
      <c r="F85" s="40"/>
      <c r="G85" s="40"/>
      <c r="H85" s="40"/>
      <c r="I85" s="71"/>
      <c r="J85" s="128"/>
      <c r="K85" s="71"/>
      <c r="L85" s="128"/>
      <c r="M85" s="71"/>
      <c r="N85" s="128"/>
      <c r="O85" s="71"/>
      <c r="P85" s="128"/>
      <c r="Q85" s="71"/>
      <c r="R85" s="66"/>
      <c r="T85" s="22"/>
    </row>
    <row r="86" spans="1:20">
      <c r="A86" s="36">
        <f>IF(S2_stat=1,1,0)</f>
        <v>0</v>
      </c>
      <c r="B86" s="36">
        <f>IF(S2_stat=1,1,0)</f>
        <v>0</v>
      </c>
      <c r="C86" s="220" t="s">
        <v>129</v>
      </c>
      <c r="D86" s="51"/>
      <c r="E86" s="93" t="str">
        <f>IF(B86=1,"Number of handling batches",Notype)</f>
        <v>Not current</v>
      </c>
      <c r="F86" s="40"/>
      <c r="G86" s="40"/>
      <c r="H86" s="40"/>
      <c r="I86" s="72" t="str">
        <f>IF(OR($A86=0,N(I$15)=0,N(S2_time_total)=0),Blank,IF(S2_batch_method=1,Days_year/I84,IF(S2_batch_method=2,Days_year/I80,Blank)))</f>
        <v/>
      </c>
      <c r="J86" s="128"/>
      <c r="K86" s="72" t="str">
        <f>IF(OR($A86=0,N(K$15)=0,N(S2_time_total)=0),Blank,IF(S2_batch_method=1,Days_year/K84,IF(S2_batch_method=2,Days_year/K80,Blank)))</f>
        <v/>
      </c>
      <c r="L86" s="128"/>
      <c r="M86" s="72" t="str">
        <f>IF(OR($A86=0,N(M$15)=0,N(S2_time_total)=0),Blank,IF(S2_batch_method=1,Days_year/M84,IF(S2_batch_method=2,Days_year/M80,Blank)))</f>
        <v/>
      </c>
      <c r="N86" s="128"/>
      <c r="O86" s="72" t="str">
        <f>IF(OR($A86=0,N(O$15)=0,N(S2_time_total)=0),Blank,IF(S2_batch_method=1,Days_year/O84,IF(S2_batch_method=2,Days_year/O80,Blank)))</f>
        <v/>
      </c>
      <c r="P86" s="128"/>
      <c r="Q86" s="72" t="str">
        <f>IF(OR($A86=0,N(Q$15)=0,N(S2_time_total)=0),Blank,IF(S2_batch_method=1,Days_year/Q84,IF(S2_batch_method=2,Days_year/Q80,Blank)))</f>
        <v/>
      </c>
      <c r="R86" s="66"/>
      <c r="T86" s="22"/>
    </row>
    <row r="87" spans="1:20">
      <c r="A87" s="36">
        <f>IF(S2_stat=1,1,0)</f>
        <v>0</v>
      </c>
      <c r="B87" s="36">
        <f>IF(S2_stat=1,1,0)</f>
        <v>0</v>
      </c>
      <c r="C87" s="220" t="s">
        <v>129</v>
      </c>
      <c r="D87" s="51"/>
      <c r="E87" s="40" t="str">
        <f>IF(B87=1,"Items per handling batch",Notype)</f>
        <v>Not current</v>
      </c>
      <c r="F87" s="40"/>
      <c r="G87" s="40"/>
      <c r="H87" s="40"/>
      <c r="I87" s="72" t="str">
        <f>IF(OR($A87=0,N(I$15)=0,N(I86)=0),Blank,I$15/N(I86))</f>
        <v/>
      </c>
      <c r="J87" s="128"/>
      <c r="K87" s="72" t="str">
        <f>IF(OR($A87=0,N(K$15)=0,N(K86)=0),Blank,K$15/N(K86))</f>
        <v/>
      </c>
      <c r="L87" s="128"/>
      <c r="M87" s="72" t="str">
        <f>IF(OR($A87=0,N(M$15)=0,N(M86)=0),Blank,M$15/N(M86))</f>
        <v/>
      </c>
      <c r="N87" s="128"/>
      <c r="O87" s="72" t="str">
        <f>IF(OR($A87=0,N(O$15)=0,N(O86)=0),Blank,O$15/N(O86))</f>
        <v/>
      </c>
      <c r="P87" s="128"/>
      <c r="Q87" s="72" t="str">
        <f>IF(OR($A87=0,N(Q$15)=0,N(Q86)=0),Blank,Q$15/N(Q86))</f>
        <v/>
      </c>
      <c r="R87" s="66"/>
      <c r="T87" s="22"/>
    </row>
    <row r="88" spans="1:20">
      <c r="C88" s="220" t="s">
        <v>129</v>
      </c>
      <c r="D88" s="51"/>
      <c r="E88" s="40"/>
      <c r="F88" s="40"/>
      <c r="G88" s="40"/>
      <c r="H88" s="40"/>
      <c r="I88" s="128"/>
      <c r="J88" s="128"/>
      <c r="K88" s="128"/>
      <c r="L88" s="128"/>
      <c r="M88" s="128"/>
      <c r="N88" s="128"/>
      <c r="O88" s="128"/>
      <c r="P88" s="128"/>
      <c r="Q88" s="128"/>
      <c r="R88" s="66"/>
      <c r="T88" s="22"/>
    </row>
    <row r="89" spans="1:20">
      <c r="A89" s="36">
        <f>IF(S2_stat=1,1,0)</f>
        <v>0</v>
      </c>
      <c r="B89" s="36">
        <f>IF(S2_stat=1,1,0)</f>
        <v>0</v>
      </c>
      <c r="C89" s="220" t="s">
        <v>129</v>
      </c>
      <c r="D89" s="51"/>
      <c r="E89" s="40" t="str">
        <f>IF(B89=1,"Boxes needed per handling batch",Notype)</f>
        <v>Not current</v>
      </c>
      <c r="F89" s="40"/>
      <c r="G89" s="40"/>
      <c r="H89" s="40"/>
      <c r="I89" s="72" t="str">
        <f>IF(OR($A89=0,N(I$15)=0,N(I69)=0,N(S2_time_total)=0),Blank,N(I87)/N(I69))</f>
        <v/>
      </c>
      <c r="J89" s="128"/>
      <c r="K89" s="72" t="str">
        <f>IF(OR($A89=0,N(K$15)=0,N(K69)=0,N(S2_time_total)=0),Blank,N(K87)/N(K69))</f>
        <v/>
      </c>
      <c r="L89" s="128"/>
      <c r="M89" s="72" t="str">
        <f>IF(OR($A89=0,N(M$15)=0,N(M69)=0,N(S2_time_total)=0),Blank,N(M87)/N(M69))</f>
        <v/>
      </c>
      <c r="N89" s="128"/>
      <c r="O89" s="72" t="str">
        <f>IF(OR($A89=0,N(O$15)=0,N(O69)=0,N(S2_time_total)=0),Blank,N(O87)/N(O69))</f>
        <v/>
      </c>
      <c r="P89" s="128"/>
      <c r="Q89" s="72" t="str">
        <f>IF(OR($A89=0,N(Q$15)=0,N(Q69)=0,N(S2_time_total)=0),Blank,N(Q87)/N(Q69))</f>
        <v/>
      </c>
      <c r="R89" s="66"/>
      <c r="T89" s="22"/>
    </row>
    <row r="90" spans="1:20">
      <c r="A90" s="36">
        <f>IF(S2_stat=1,1,0)</f>
        <v>0</v>
      </c>
      <c r="B90" s="36">
        <f>IF(S2_stat=1,1,0)</f>
        <v>0</v>
      </c>
      <c r="C90" s="220" t="s">
        <v>129</v>
      </c>
      <c r="D90" s="51"/>
      <c r="E90" s="40" t="str">
        <f>IF(B90=1,"Boxes used elsewhere",Notype)</f>
        <v>Not current</v>
      </c>
      <c r="F90" s="40"/>
      <c r="G90" s="40"/>
      <c r="H90" s="40"/>
      <c r="I90" s="129" t="str">
        <f>IF(OR($A90=0,N(I$15)=0,N(S2_time_total)=0),Blank,IF(S2_batch_method=1,0,IF(N(S2_time_hand)=0,Blank,(N(I89)*ROUNDUP(N(I84)/N(I80),0))-N(I89))))</f>
        <v/>
      </c>
      <c r="J90" s="128"/>
      <c r="K90" s="129" t="str">
        <f>IF(OR($A90=0,N(K$15)=0,N(S2_time_total)=0),Blank,IF(S2_batch_method=1,0,IF(N(S2_time_hand)=0,Blank,(N(K89)*ROUNDUP(N(K84)/N(K80),0))-N(K89))))</f>
        <v/>
      </c>
      <c r="L90" s="128"/>
      <c r="M90" s="129" t="str">
        <f>IF(OR($A90=0,N(M$15)=0,N(S2_time_total)=0),Blank,IF(S2_batch_method=1,0,IF(N(S2_time_hand)=0,Blank,(N(M89)*ROUNDUP(N(M84)/N(M80),0))-N(M89))))</f>
        <v/>
      </c>
      <c r="N90" s="128"/>
      <c r="O90" s="129" t="str">
        <f>IF(OR($A90=0,N(O$15)=0,N(S2_time_total)=0),Blank,IF(S2_batch_method=1,0,IF(N(S2_time_hand)=0,Blank,(N(O89)*ROUNDUP(N(O84)/N(O80),0))-N(O89))))</f>
        <v/>
      </c>
      <c r="P90" s="128"/>
      <c r="Q90" s="129" t="str">
        <f>IF(OR($A90=0,N(Q$15)=0,N(S2_time_total)=0),Blank,IF(S2_batch_method=1,0,IF(N(S2_time_hand)=0,Blank,(N(Q89)*ROUNDUP(N(Q84)/N(Q80),0))-N(Q89))))</f>
        <v/>
      </c>
      <c r="R90" s="66"/>
      <c r="T90" s="22"/>
    </row>
    <row r="91" spans="1:20">
      <c r="C91" s="220" t="s">
        <v>129</v>
      </c>
      <c r="D91" s="51"/>
      <c r="E91" s="40"/>
      <c r="F91" s="40"/>
      <c r="G91" s="40"/>
      <c r="H91" s="40"/>
      <c r="I91" s="129"/>
      <c r="J91" s="128"/>
      <c r="K91" s="129"/>
      <c r="L91" s="128"/>
      <c r="M91" s="129"/>
      <c r="N91" s="128"/>
      <c r="O91" s="129"/>
      <c r="P91" s="128"/>
      <c r="Q91" s="129"/>
      <c r="R91" s="66"/>
      <c r="T91" s="22"/>
    </row>
    <row r="92" spans="1:20">
      <c r="A92" s="36">
        <f>IF(S2_stat=1,1,0)</f>
        <v>0</v>
      </c>
      <c r="B92" s="36">
        <f>IF(S2_stat=1,1,0)</f>
        <v>0</v>
      </c>
      <c r="C92" s="220" t="s">
        <v>129</v>
      </c>
      <c r="D92" s="51"/>
      <c r="E92" s="40" t="str">
        <f>IF(B92=1,S2_trans_send&amp;"s to be sent per handling batch",Notype)</f>
        <v>Not current</v>
      </c>
      <c r="F92" s="40"/>
      <c r="G92" s="40"/>
      <c r="H92" s="40"/>
      <c r="I92" s="129" t="str">
        <f>IF(OR($A92=0,N(I15)=0),Blank,N(I89)/N(I72))</f>
        <v/>
      </c>
      <c r="J92" s="128"/>
      <c r="K92" s="129" t="str">
        <f>IF(OR($A92=0,N(K15)=0),Blank,N(K89)/N(K72))</f>
        <v/>
      </c>
      <c r="L92" s="128"/>
      <c r="M92" s="129" t="str">
        <f>IF(OR($A92=0,N(M15)=0),Blank,N(M89)/N(M72))</f>
        <v/>
      </c>
      <c r="N92" s="128"/>
      <c r="O92" s="129" t="str">
        <f>IF(OR($A92=0,N(O15)=0),Blank,N(O89)/N(O72))</f>
        <v/>
      </c>
      <c r="P92" s="128"/>
      <c r="Q92" s="129" t="str">
        <f>IF(OR($A92=0,N(Q15)=0),Blank,N(Q89)/N(Q72))</f>
        <v/>
      </c>
      <c r="R92" s="66"/>
      <c r="T92" s="22"/>
    </row>
    <row r="93" spans="1:20">
      <c r="C93" s="220" t="s">
        <v>129</v>
      </c>
      <c r="D93" s="51"/>
      <c r="E93" s="40"/>
      <c r="F93" s="40"/>
      <c r="G93" s="40"/>
      <c r="H93" s="40"/>
      <c r="I93" s="129"/>
      <c r="J93" s="128"/>
      <c r="K93" s="129"/>
      <c r="L93" s="128"/>
      <c r="M93" s="129"/>
      <c r="N93" s="128"/>
      <c r="O93" s="129"/>
      <c r="P93" s="128"/>
      <c r="Q93" s="129"/>
      <c r="R93" s="66"/>
      <c r="T93" s="22"/>
    </row>
    <row r="94" spans="1:20">
      <c r="A94" s="36">
        <f>IF(S2_stat&gt;0,1,0)</f>
        <v>0</v>
      </c>
      <c r="B94" s="36">
        <f>IF(S2_stat&gt;0,1,0)</f>
        <v>0</v>
      </c>
      <c r="C94" s="220" t="s">
        <v>129</v>
      </c>
      <c r="D94" s="51"/>
      <c r="E94" s="40" t="str">
        <f>IF(B94=1,"Boxes to purchase/lease",Notype)</f>
        <v>Not current</v>
      </c>
      <c r="F94" s="40"/>
      <c r="G94" s="40"/>
      <c r="H94" s="40"/>
      <c r="I94" s="129" t="str">
        <f>IF(OR($A94=0,N(I$15)=0),Blank,IF(S2_stat=2,N(I70),IF(((N(I89)+N(I90))-SUM($H94:H94))&gt;0,(N(I89)+N(I90))-SUM($H94:H94),0)))</f>
        <v/>
      </c>
      <c r="J94" s="128"/>
      <c r="K94" s="129" t="str">
        <f>IF(OR($A94=0,N(K$15)=0),Blank,IF(S2_stat=2,N(K70),IF(((N(K89)+N(K90))-SUM($H94:J94))&gt;0,(N(K89)+N(K90))-SUM($H94:J94),0)))</f>
        <v/>
      </c>
      <c r="L94" s="128"/>
      <c r="M94" s="129" t="str">
        <f>IF(OR($A94=0,N(M$15)=0),Blank,IF(S2_stat=2,N(M70),IF(((N(M89)+N(M90))-SUM($H94:L94))&gt;0,(N(M89)+N(M90))-SUM($H94:L94),0)))</f>
        <v/>
      </c>
      <c r="N94" s="128"/>
      <c r="O94" s="129" t="str">
        <f>IF(OR($A94=0,N(O$15)=0),Blank,IF(S2_stat=2,N(O70),IF(((N(O89)+N(O90))-SUM($H94:N94))&gt;0,(N(O89)+N(O90))-SUM($H94:N94),0)))</f>
        <v/>
      </c>
      <c r="P94" s="128"/>
      <c r="Q94" s="129" t="str">
        <f>IF(OR($A94=0,N(Q$15)=0),Blank,IF(S2_stat=2,N(Q70),IF(((N(Q89)+N(Q90))-SUM($H94:P94))&gt;0,(N(Q89)+N(Q90))-SUM($H94:P94),0)))</f>
        <v/>
      </c>
      <c r="R94" s="66"/>
      <c r="T94" s="22"/>
    </row>
    <row r="95" spans="1:20">
      <c r="A95" s="36">
        <f>IF(S2_stat&gt;0,1,0)</f>
        <v>0</v>
      </c>
      <c r="B95" s="36">
        <f>IF(S2_stat=1,1,0)</f>
        <v>0</v>
      </c>
      <c r="C95" s="220" t="s">
        <v>129</v>
      </c>
      <c r="D95" s="51"/>
      <c r="E95" s="40" t="str">
        <f>IF(B95=1,"Boxes in circulation",Notype)</f>
        <v>Not current</v>
      </c>
      <c r="F95" s="40"/>
      <c r="G95" s="40"/>
      <c r="H95" s="40"/>
      <c r="I95" s="129" t="str">
        <f>IF(OR($A95=0,$B95=0,I94=""),Blank,SUM($H94:H94)+N(I94))</f>
        <v/>
      </c>
      <c r="J95" s="128"/>
      <c r="K95" s="129" t="str">
        <f>IF(OR($A95=0,$B95=0,K94=""),Blank,SUM($H94:J94)+N(K94))</f>
        <v/>
      </c>
      <c r="L95" s="128"/>
      <c r="M95" s="129" t="str">
        <f>IF(OR($A95=0,$B95=0,M94=""),Blank,SUM($H94:L94)+N(M94))</f>
        <v/>
      </c>
      <c r="N95" s="128"/>
      <c r="O95" s="129" t="str">
        <f>IF(OR($A95=0,$B95=0,O94=""),Blank,SUM($H94:N94)+N(O94))</f>
        <v/>
      </c>
      <c r="P95" s="128"/>
      <c r="Q95" s="129" t="str">
        <f>IF(OR($A95=0,$B95=0,Q94=""),Blank,SUM($H94:P94)+N(Q94))</f>
        <v/>
      </c>
      <c r="R95" s="66"/>
      <c r="T95" s="22"/>
    </row>
    <row r="96" spans="1:20">
      <c r="C96" s="220" t="s">
        <v>129</v>
      </c>
      <c r="D96" s="51"/>
      <c r="E96" s="40"/>
      <c r="F96" s="40"/>
      <c r="G96" s="40"/>
      <c r="H96" s="40"/>
      <c r="I96" s="129"/>
      <c r="J96" s="128"/>
      <c r="K96" s="129"/>
      <c r="L96" s="128"/>
      <c r="M96" s="129"/>
      <c r="N96" s="128"/>
      <c r="O96" s="129"/>
      <c r="P96" s="128"/>
      <c r="Q96" s="129"/>
      <c r="R96" s="66"/>
      <c r="T96" s="22"/>
    </row>
    <row r="97" spans="1:20">
      <c r="A97" s="36">
        <f>IF(S2_stat&gt;0,1,0)</f>
        <v>0</v>
      </c>
      <c r="B97" s="36">
        <f>IF(S2_stat&gt;0,1,0)</f>
        <v>0</v>
      </c>
      <c r="C97" s="220" t="s">
        <v>129</v>
      </c>
      <c r="D97" s="51"/>
      <c r="E97" s="40" t="str">
        <f>IF(B97=1,"Cost boxes",Notype)</f>
        <v>Not current</v>
      </c>
      <c r="F97" s="40"/>
      <c r="G97" s="40" t="str">
        <f t="shared" ref="G97:G104" si="4">IF(B97=1,Currency,"")</f>
        <v/>
      </c>
      <c r="H97" s="40"/>
      <c r="I97" s="128" t="str">
        <f>IF(OR($A97=0,N(I$15)=0),Blank,(N(I94)*N(S2_box_price))+(N(I70)*N(S2_box_lease)))</f>
        <v/>
      </c>
      <c r="J97" s="128"/>
      <c r="K97" s="128" t="str">
        <f>IF(OR($A97=0,N(K$15)=0),Blank,(N(K94)*N(S2_box_price))+(N(K70)*N(S2_box_lease)))</f>
        <v/>
      </c>
      <c r="L97" s="128"/>
      <c r="M97" s="128" t="str">
        <f>IF(OR($A97=0,N(M$15)=0),Blank,(N(M94)*N(S2_box_price))+(N(M70)*N(S2_box_lease)))</f>
        <v/>
      </c>
      <c r="N97" s="128"/>
      <c r="O97" s="128" t="str">
        <f>IF(OR($A97=0,N(O$15)=0),Blank,(N(O94)*N(S2_box_price))+(N(O70)*N(S2_box_lease)))</f>
        <v/>
      </c>
      <c r="P97" s="128"/>
      <c r="Q97" s="128" t="str">
        <f>IF(OR($A97=0,N(Q$15)=0),Blank,(N(Q94)*N(S2_box_price))+(N(Q70)*N(S2_box_lease)))</f>
        <v/>
      </c>
      <c r="R97" s="66"/>
      <c r="T97" s="22"/>
    </row>
    <row r="98" spans="1:20">
      <c r="A98" s="36">
        <f>IF(S2_stat=1,1,0)</f>
        <v>0</v>
      </c>
      <c r="B98" s="36">
        <f t="shared" ref="B98:B104" si="5">IF(S2_stat&gt;0,1,0)</f>
        <v>0</v>
      </c>
      <c r="C98" s="220" t="s">
        <v>129</v>
      </c>
      <c r="D98" s="51"/>
      <c r="E98" s="55" t="str">
        <f>IF(B98=1,"Cost maintenance",Notype)</f>
        <v>Not current</v>
      </c>
      <c r="F98" s="55"/>
      <c r="G98" s="40" t="str">
        <f t="shared" si="4"/>
        <v/>
      </c>
      <c r="H98" s="40"/>
      <c r="I98" s="128" t="str">
        <f>IF(OR($A98=0,N(I$15)=0,N(I86)=0),Blank,N(I70)*N(S2_box_cost_main))</f>
        <v/>
      </c>
      <c r="J98" s="128"/>
      <c r="K98" s="128" t="str">
        <f>IF(OR($A98=0,N(K$15)=0,N(K86)=0),Blank,N(K70)*N(S2_box_cost_main))</f>
        <v/>
      </c>
      <c r="L98" s="128"/>
      <c r="M98" s="128" t="str">
        <f>IF(OR($A98=0,N(M$15)=0,N(M86)=0),Blank,N(M70)*N(S2_box_cost_main))</f>
        <v/>
      </c>
      <c r="N98" s="128"/>
      <c r="O98" s="128" t="str">
        <f>IF(OR($A98=0,N(O$15)=0,N(O86)=0),Blank,N(O70)*N(S2_box_cost_main))</f>
        <v/>
      </c>
      <c r="P98" s="128"/>
      <c r="Q98" s="128" t="str">
        <f>IF(OR($A98=0,N(Q$15)=0,N(Q86)=0),Blank,N(Q70)*N(S2_box_cost_main))</f>
        <v/>
      </c>
      <c r="R98" s="66"/>
      <c r="T98" s="22"/>
    </row>
    <row r="99" spans="1:20">
      <c r="A99" s="36">
        <f>IF(S2_stat&gt;0,1,0)</f>
        <v>0</v>
      </c>
      <c r="B99" s="36">
        <f t="shared" si="5"/>
        <v>0</v>
      </c>
      <c r="C99" s="220" t="s">
        <v>129</v>
      </c>
      <c r="D99" s="51"/>
      <c r="E99" s="55" t="str">
        <f>IF(B99=1,"Cost damage",Notype)</f>
        <v>Not current</v>
      </c>
      <c r="F99" s="55"/>
      <c r="G99" s="40" t="str">
        <f t="shared" si="4"/>
        <v/>
      </c>
      <c r="H99" s="40"/>
      <c r="I99" s="128" t="str">
        <f>IF(OR($A99=0,N(I$15)=0),Blank,I$15*N(S2_damage)*N(Item_cost))</f>
        <v/>
      </c>
      <c r="J99" s="128"/>
      <c r="K99" s="128" t="str">
        <f>IF(OR($A99=0,N(K$15)=0),Blank,K$15*N(S2_damage)*N(Item_cost))</f>
        <v/>
      </c>
      <c r="L99" s="128"/>
      <c r="M99" s="128" t="str">
        <f>IF(OR($A99=0,N(M$15)=0),Blank,M$15*N(S2_damage)*N(Item_cost))</f>
        <v/>
      </c>
      <c r="N99" s="128"/>
      <c r="O99" s="128" t="str">
        <f>IF(OR($A99=0,N(O$15)=0),Blank,O$15*N(S2_damage)*N(Item_cost))</f>
        <v/>
      </c>
      <c r="P99" s="128"/>
      <c r="Q99" s="128" t="str">
        <f>IF(OR($A99=0,N(Q$15)=0),Blank,Q$15*N(S2_damage)*N(Item_cost))</f>
        <v/>
      </c>
      <c r="R99" s="66"/>
      <c r="T99" s="22"/>
    </row>
    <row r="100" spans="1:20">
      <c r="A100" s="36">
        <f>IF(S2_stat&gt;0,1,0)</f>
        <v>0</v>
      </c>
      <c r="B100" s="36">
        <f t="shared" si="5"/>
        <v>0</v>
      </c>
      <c r="C100" s="220" t="s">
        <v>129</v>
      </c>
      <c r="D100" s="51"/>
      <c r="E100" s="55" t="str">
        <f>IF(B100=1,"Cost assembly",Notype)</f>
        <v>Not current</v>
      </c>
      <c r="F100" s="55"/>
      <c r="G100" s="40" t="str">
        <f t="shared" si="4"/>
        <v/>
      </c>
      <c r="H100" s="40"/>
      <c r="I100" s="128" t="str">
        <f>IF(OR($A100=0,N(I$15)=0),Blank,N(I70)*N(S2_box_cost_assem))</f>
        <v/>
      </c>
      <c r="J100" s="128"/>
      <c r="K100" s="128" t="str">
        <f>IF(OR($A100=0,N(K$15)=0),Blank,N(K70)*N(S2_box_cost_assem))</f>
        <v/>
      </c>
      <c r="L100" s="128"/>
      <c r="M100" s="128" t="str">
        <f>IF(OR($A100=0,N(M$15)=0),Blank,N(M70)*N(S2_box_cost_assem))</f>
        <v/>
      </c>
      <c r="N100" s="128"/>
      <c r="O100" s="128" t="str">
        <f>IF(OR($A100=0,N(O$15)=0),Blank,N(O70)*N(S2_box_cost_assem))</f>
        <v/>
      </c>
      <c r="P100" s="128"/>
      <c r="Q100" s="128" t="str">
        <f>IF(OR($A100=0,N(Q$15)=0),Blank,N(Q70)*N(S2_box_cost_assem))</f>
        <v/>
      </c>
      <c r="R100" s="66"/>
      <c r="T100" s="22"/>
    </row>
    <row r="101" spans="1:20">
      <c r="A101" s="36">
        <f>IF(S2_stat&gt;0,1,0)</f>
        <v>0</v>
      </c>
      <c r="B101" s="36">
        <f t="shared" si="5"/>
        <v>0</v>
      </c>
      <c r="C101" s="220" t="s">
        <v>129</v>
      </c>
      <c r="D101" s="51"/>
      <c r="E101" s="55" t="str">
        <f>IF(B101=1,"Cost transport sending",Notype)</f>
        <v>Not current</v>
      </c>
      <c r="F101" s="55"/>
      <c r="G101" s="40" t="str">
        <f t="shared" si="4"/>
        <v/>
      </c>
      <c r="H101" s="40"/>
      <c r="I101" s="128" t="str">
        <f>IF(OR($A101=0,N(I$15)=0),Blank,N(I73)*N(S2_cost_send))</f>
        <v/>
      </c>
      <c r="J101" s="128"/>
      <c r="K101" s="128" t="str">
        <f>IF(OR($A101=0,N(K$15)=0),Blank,N(K73)*N(S2_cost_send))</f>
        <v/>
      </c>
      <c r="L101" s="128"/>
      <c r="M101" s="128" t="str">
        <f>IF(OR($A101=0,N(M$15)=0),Blank,N(M73)*N(S2_cost_send))</f>
        <v/>
      </c>
      <c r="N101" s="128"/>
      <c r="O101" s="128" t="str">
        <f>IF(OR($A101=0,N(O$15)=0),Blank,N(O73)*N(S2_cost_send))</f>
        <v/>
      </c>
      <c r="P101" s="128"/>
      <c r="Q101" s="128" t="str">
        <f>IF(OR($A101=0,N(Q$15)=0),Blank,N(Q73)*N(S2_cost_send))</f>
        <v/>
      </c>
      <c r="R101" s="66"/>
      <c r="T101" s="22"/>
    </row>
    <row r="102" spans="1:20">
      <c r="A102" s="36">
        <f>IF(S2_stat=1,1,0)</f>
        <v>0</v>
      </c>
      <c r="B102" s="36">
        <f t="shared" si="5"/>
        <v>0</v>
      </c>
      <c r="C102" s="220" t="s">
        <v>129</v>
      </c>
      <c r="D102" s="51"/>
      <c r="E102" s="55" t="str">
        <f>IF(B102=1,"Cost transport return",Notype)</f>
        <v>Not current</v>
      </c>
      <c r="F102" s="55"/>
      <c r="G102" s="40" t="str">
        <f t="shared" si="4"/>
        <v/>
      </c>
      <c r="H102" s="40"/>
      <c r="I102" s="128" t="str">
        <f>IF(OR($A102=0,N(I$15)=0),Blank,N(I76)*N(S2_cost_return))</f>
        <v/>
      </c>
      <c r="J102" s="128"/>
      <c r="K102" s="128" t="str">
        <f>IF(OR($A102=0,N(K$15)=0),Blank,N(K76)*N(S2_cost_return))</f>
        <v/>
      </c>
      <c r="L102" s="128"/>
      <c r="M102" s="128" t="str">
        <f>IF(OR($A102=0,N(M$15)=0),Blank,N(M76)*N(S2_cost_return))</f>
        <v/>
      </c>
      <c r="N102" s="128"/>
      <c r="O102" s="128" t="str">
        <f>IF(OR($A102=0,N(O$15)=0),Blank,N(O76)*N(S2_cost_return))</f>
        <v/>
      </c>
      <c r="P102" s="128"/>
      <c r="Q102" s="128" t="str">
        <f>IF(OR($A102=0,N(Q$15)=0),Blank,N(Q76)*N(S2_cost_return))</f>
        <v/>
      </c>
      <c r="R102" s="66"/>
      <c r="T102" s="22"/>
    </row>
    <row r="103" spans="1:20">
      <c r="A103" s="36">
        <f>IF(S2_stat&gt;0,1,0)</f>
        <v>0</v>
      </c>
      <c r="B103" s="36">
        <f t="shared" si="5"/>
        <v>0</v>
      </c>
      <c r="C103" s="220" t="s">
        <v>129</v>
      </c>
      <c r="D103" s="51"/>
      <c r="E103" s="55" t="str">
        <f>IF(B103=1,"Cost total per year",Notype)</f>
        <v>Not current</v>
      </c>
      <c r="F103" s="55"/>
      <c r="G103" s="40" t="str">
        <f t="shared" si="4"/>
        <v/>
      </c>
      <c r="H103" s="40"/>
      <c r="I103" s="132" t="str">
        <f>IF(OR($A103=0,N(I$15)=0),Blank,SUM(I97:I102))</f>
        <v/>
      </c>
      <c r="J103" s="128"/>
      <c r="K103" s="132" t="str">
        <f>IF(OR($A103=0,N(K$15)=0),Blank,SUM(K97:K102))</f>
        <v/>
      </c>
      <c r="L103" s="128"/>
      <c r="M103" s="132" t="str">
        <f>IF(OR($A103=0,N(M$15)=0),Blank,SUM(M97:M102))</f>
        <v/>
      </c>
      <c r="N103" s="128"/>
      <c r="O103" s="132" t="str">
        <f>IF(OR($A103=0,N(O$15)=0),Blank,SUM(O97:O102))</f>
        <v/>
      </c>
      <c r="P103" s="128"/>
      <c r="Q103" s="132" t="str">
        <f>IF(OR($A103=0,N(Q$15)=0),Blank,SUM(Q97:Q102))</f>
        <v/>
      </c>
      <c r="R103" s="66"/>
      <c r="T103" s="22"/>
    </row>
    <row r="104" spans="1:20">
      <c r="A104" s="36">
        <f>IF(S2_stat&gt;0,1,0)</f>
        <v>0</v>
      </c>
      <c r="B104" s="36">
        <f t="shared" si="5"/>
        <v>0</v>
      </c>
      <c r="C104" s="220" t="s">
        <v>129</v>
      </c>
      <c r="D104" s="51"/>
      <c r="E104" s="55" t="str">
        <f>IF(B104=1,"Cost total accumulated",Notype)</f>
        <v>Not current</v>
      </c>
      <c r="F104" s="55"/>
      <c r="G104" s="40" t="str">
        <f t="shared" si="4"/>
        <v/>
      </c>
      <c r="H104" s="40"/>
      <c r="I104" s="128" t="str">
        <f>IF(OR($A104=0,N(I$15)=0),Blank,SUM($H103:H103)+N(I103))</f>
        <v/>
      </c>
      <c r="J104" s="128"/>
      <c r="K104" s="128" t="str">
        <f>IF(OR($A104=0,N(K$15)=0),Blank,SUM($H103:J103)+N(K103))</f>
        <v/>
      </c>
      <c r="L104" s="128"/>
      <c r="M104" s="128" t="str">
        <f>IF(OR($A104=0,N(M$15)=0),Blank,SUM($H103:L103)+N(M103))</f>
        <v/>
      </c>
      <c r="N104" s="128"/>
      <c r="O104" s="128" t="str">
        <f>IF(OR($A104=0,N(O$15)=0),Blank,SUM($H103:N103)+N(O103))</f>
        <v/>
      </c>
      <c r="P104" s="128"/>
      <c r="Q104" s="128" t="str">
        <f>IF(OR($A104=0,N(Q$15)=0),Blank,SUM($H103:P103)+N(Q103))</f>
        <v/>
      </c>
      <c r="R104" s="66"/>
      <c r="T104" s="22"/>
    </row>
    <row r="105" spans="1:20" ht="13.5" thickBot="1">
      <c r="C105" s="220" t="s">
        <v>129</v>
      </c>
      <c r="D105" s="59"/>
      <c r="E105" s="85"/>
      <c r="F105" s="85"/>
      <c r="G105" s="60"/>
      <c r="H105" s="60"/>
      <c r="I105" s="156"/>
      <c r="J105" s="156"/>
      <c r="K105" s="156"/>
      <c r="L105" s="156"/>
      <c r="M105" s="156"/>
      <c r="N105" s="156"/>
      <c r="O105" s="156"/>
      <c r="P105" s="156"/>
      <c r="Q105" s="156"/>
      <c r="R105" s="153"/>
      <c r="T105" s="23"/>
    </row>
  </sheetData>
  <sheetProtection password="C861" sheet="1" objects="1" scenarios="1"/>
  <mergeCells count="1">
    <mergeCell ref="F7:I7"/>
  </mergeCells>
  <phoneticPr fontId="2" type="noConversion"/>
  <conditionalFormatting sqref="I102:I103 K102:K103 M102:M103 O102:O103 Q102:Q103 O84:O85 I84:I85 M84:M85 Q44 K84:K85 I62:I63 O62:O63 K62:K63 M62:M63 Q62:Q63 I44 K44 M44 O44 Q84:Q85">
    <cfRule type="cellIs" dxfId="1" priority="1" stopIfTrue="1" operator="equal">
      <formula>Blank</formula>
    </cfRule>
  </conditionalFormatting>
  <dataValidations count="1">
    <dataValidation type="custom" allowBlank="1" showInputMessage="1" showErrorMessage="1" sqref="I13 K13 M13 O13 Q13">
      <formula1>I13&gt;=0</formula1>
    </dataValidation>
  </dataValidations>
  <printOptions horizontalCentered="1"/>
  <pageMargins left="0.74803149606299213" right="0.35433070866141736" top="0.31496062992125984" bottom="0.59055118110236227" header="0.23622047244094491" footer="0.31496062992125984"/>
  <pageSetup paperSize="9" scale="92" firstPageNumber="7" fitToHeight="0" orientation="portrait" useFirstPageNumber="1" verticalDpi="1200" r:id="rId1"/>
  <headerFooter alignWithMargins="0">
    <oddFooter>&amp;CPage &amp;P of 8</oddFoot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457"/>
  <sheetViews>
    <sheetView showGridLines="0" showRowColHeaders="0" topLeftCell="C1" zoomScaleNormal="100" workbookViewId="0">
      <selection sqref="A1:B1048576"/>
    </sheetView>
  </sheetViews>
  <sheetFormatPr defaultRowHeight="12.75"/>
  <cols>
    <col min="1" max="2" width="9.140625" style="36" hidden="1" customWidth="1"/>
    <col min="3" max="3" width="2.7109375" style="36" customWidth="1"/>
    <col min="4" max="4" width="5.28515625" style="39" customWidth="1"/>
    <col min="5" max="5" width="10.7109375" style="36" customWidth="1"/>
    <col min="6" max="6" width="11.7109375" style="36" customWidth="1"/>
    <col min="7" max="7" width="10.7109375" style="36" customWidth="1"/>
    <col min="8" max="8" width="2.7109375" style="36" customWidth="1"/>
    <col min="9" max="9" width="10.7109375" style="36" customWidth="1"/>
    <col min="10" max="10" width="2.7109375" style="36" customWidth="1"/>
    <col min="11" max="11" width="10.7109375" style="36" customWidth="1"/>
    <col min="12" max="12" width="2.7109375" style="36" customWidth="1"/>
    <col min="13" max="13" width="10.7109375" style="36" customWidth="1"/>
    <col min="14" max="14" width="2.7109375" style="36" customWidth="1"/>
    <col min="15" max="15" width="10.7109375" style="36" customWidth="1"/>
    <col min="16" max="16384" width="9.140625" style="36"/>
  </cols>
  <sheetData>
    <row r="1" spans="1:18">
      <c r="A1" s="36" t="s">
        <v>102</v>
      </c>
      <c r="B1" s="36" t="s">
        <v>103</v>
      </c>
    </row>
    <row r="15" spans="1:18" ht="26.25">
      <c r="D15" s="207" t="s">
        <v>64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86"/>
      <c r="Q15" s="86"/>
      <c r="R15" s="86"/>
    </row>
    <row r="19" spans="4:18" ht="15.75" customHeight="1">
      <c r="D19" s="214" t="s">
        <v>124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37"/>
      <c r="Q19" s="37"/>
      <c r="R19" s="37"/>
    </row>
    <row r="22" spans="4:18" ht="15">
      <c r="D22" s="211">
        <f>Cust_name</f>
        <v>0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88"/>
      <c r="Q22" s="88"/>
      <c r="R22" s="88"/>
    </row>
    <row r="24" spans="4:18" ht="15">
      <c r="D24" s="211" t="str">
        <f>IF(Cust_project="","","concerning project about "&amp;Cust_project)</f>
        <v/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88"/>
      <c r="Q24" s="88"/>
      <c r="R24" s="88"/>
    </row>
    <row r="25" spans="4:18" ht="12.75" customHeight="1"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  <c r="Q25" s="88"/>
      <c r="R25" s="88"/>
    </row>
    <row r="26" spans="4:18" ht="12.75" customHeight="1"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88"/>
      <c r="R26" s="88"/>
    </row>
    <row r="27" spans="4:18"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4:18" ht="15">
      <c r="D28" s="211" t="str">
        <f>IF(Study_ver="","","Study version: "&amp;Study_ver)</f>
        <v/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88"/>
      <c r="Q28" s="88"/>
      <c r="R28" s="88"/>
    </row>
    <row r="30" spans="4:18" ht="15">
      <c r="D30" s="215">
        <f>Study_date</f>
        <v>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88"/>
      <c r="Q30" s="88"/>
      <c r="R30" s="88"/>
    </row>
    <row r="31" spans="4:18" ht="12.75" customHeight="1"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  <c r="Q31" s="88"/>
      <c r="R31" s="88"/>
    </row>
    <row r="32" spans="4:18" ht="12.75" customHeight="1"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  <c r="R32" s="88"/>
    </row>
    <row r="33" spans="4:18" ht="12.75" customHeight="1"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88"/>
      <c r="R33" s="88"/>
    </row>
    <row r="34" spans="4:18" ht="12.75" customHeight="1"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88"/>
      <c r="R34" s="88"/>
    </row>
    <row r="35" spans="4:18" ht="12.75" customHeight="1"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88"/>
      <c r="R35" s="88"/>
    </row>
    <row r="36" spans="4:18" ht="12.75" customHeight="1"/>
    <row r="37" spans="4:18" ht="15.75" customHeight="1">
      <c r="D37" s="214" t="s">
        <v>119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37"/>
      <c r="Q37" s="37"/>
      <c r="R37" s="37"/>
    </row>
    <row r="40" spans="4:18" ht="15" customHeight="1">
      <c r="D40" s="211" t="str">
        <f>CL_name</f>
        <v>Clip-Lok International Ltd.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88"/>
      <c r="Q40" s="88"/>
      <c r="R40" s="88"/>
    </row>
    <row r="41" spans="4:18" ht="15">
      <c r="D41" s="211" t="str">
        <f>IF(CL_address1="",Blank,CL_address1)</f>
        <v>Solvang 25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88"/>
      <c r="Q41" s="88"/>
      <c r="R41" s="88"/>
    </row>
    <row r="42" spans="4:18" ht="15">
      <c r="D42" s="211" t="str">
        <f>IF(CL_address2="",CL_zip&amp;" "&amp;CL_town,CL_address2)</f>
        <v>3450 Alleroed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88"/>
      <c r="Q42" s="88"/>
      <c r="R42" s="88"/>
    </row>
    <row r="43" spans="4:18" ht="15">
      <c r="D43" s="211" t="str">
        <f>IF(CL_address2="",IF(CL_country="",Blank,CL_country),CL_zip&amp;" "&amp;CL_town)</f>
        <v>Denmark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88"/>
      <c r="Q43" s="88"/>
      <c r="R43" s="88"/>
    </row>
    <row r="44" spans="4:18" ht="15">
      <c r="D44" s="211" t="str">
        <f>IF(CL_address2="",Blank,CL_country)</f>
        <v/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</row>
    <row r="46" spans="4:18" ht="15">
      <c r="D46" s="211" t="str">
        <f>"Telephone: "&amp;CL_phone</f>
        <v>Telephone: +45 48 14 37 78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88"/>
      <c r="Q46" s="88"/>
      <c r="R46" s="88"/>
    </row>
    <row r="47" spans="4:18" ht="15">
      <c r="D47" s="211" t="str">
        <f>"Fax: "&amp;CL_fax</f>
        <v>Fax: +45 48 14 34 83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88"/>
      <c r="Q47" s="88"/>
      <c r="R47" s="88"/>
    </row>
    <row r="48" spans="4:18" ht="15"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3:18" ht="15">
      <c r="D49" s="211" t="str">
        <f>IF(CL_contact="","","Contact person: "&amp;CL_contact)</f>
        <v/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87"/>
      <c r="Q49" s="87"/>
      <c r="R49" s="87"/>
    </row>
    <row r="50" spans="3:18" ht="12.75" customHeight="1"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3:18" ht="15.75" customHeight="1">
      <c r="D51" s="90" t="s">
        <v>64</v>
      </c>
      <c r="F51" s="87"/>
      <c r="G51" s="87"/>
      <c r="H51" s="87"/>
      <c r="I51" s="87"/>
      <c r="J51" s="87"/>
      <c r="K51" s="87"/>
      <c r="L51" s="87"/>
      <c r="M51" s="87"/>
      <c r="N51" s="87"/>
      <c r="P51" s="87"/>
      <c r="Q51" s="87"/>
      <c r="R51" s="87"/>
    </row>
    <row r="52" spans="3:18" ht="15.75" customHeight="1">
      <c r="D52" s="91" t="str">
        <f>IF(Cust_name="",Blank,Cust_name)</f>
        <v/>
      </c>
      <c r="F52" s="92"/>
      <c r="G52" s="92"/>
      <c r="H52" s="92"/>
      <c r="I52" s="92"/>
      <c r="J52" s="92"/>
      <c r="K52" s="92"/>
      <c r="L52" s="92"/>
      <c r="M52" s="40"/>
      <c r="N52" s="40"/>
      <c r="O52" s="38" t="s">
        <v>233</v>
      </c>
      <c r="P52" s="87"/>
      <c r="Q52" s="87"/>
      <c r="R52" s="87"/>
    </row>
    <row r="53" spans="3:18" ht="15.75" customHeight="1">
      <c r="C53" s="40"/>
      <c r="D53" s="93" t="str">
        <f>IF(Study_ver="",Blank,"Version: "&amp;Study_ver&amp;", ")&amp;IF(Study_date="",Blank,TEXT(Study_date,"d. mmmm åååå"))</f>
        <v/>
      </c>
      <c r="F53" s="92"/>
      <c r="G53" s="92"/>
      <c r="H53" s="92"/>
      <c r="I53" s="92"/>
      <c r="J53" s="92"/>
      <c r="K53" s="92"/>
      <c r="L53" s="92"/>
      <c r="M53" s="94"/>
      <c r="N53" s="94"/>
      <c r="O53" s="94"/>
      <c r="P53" s="95"/>
      <c r="Q53" s="95"/>
      <c r="R53" s="87"/>
    </row>
    <row r="54" spans="3:18" ht="12.75" customHeight="1">
      <c r="D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3:18" ht="12.75" customHeight="1">
      <c r="D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3:18" ht="15.75">
      <c r="D56" s="37" t="s">
        <v>143</v>
      </c>
    </row>
    <row r="57" spans="3:18" ht="12.75" customHeight="1">
      <c r="D57" s="37"/>
    </row>
    <row r="58" spans="3:18">
      <c r="D58" s="36" t="s">
        <v>147</v>
      </c>
    </row>
    <row r="59" spans="3:18">
      <c r="D59" s="36" t="s">
        <v>120</v>
      </c>
    </row>
    <row r="60" spans="3:18">
      <c r="D60" s="36" t="s">
        <v>121</v>
      </c>
    </row>
    <row r="61" spans="3:18">
      <c r="D61" s="36"/>
    </row>
    <row r="62" spans="3:18">
      <c r="D62" s="36"/>
    </row>
    <row r="63" spans="3:18" ht="15.75">
      <c r="D63" s="37" t="s">
        <v>151</v>
      </c>
    </row>
    <row r="64" spans="3:18" ht="12.75" customHeight="1">
      <c r="D64" s="37"/>
    </row>
    <row r="65" spans="4:8" ht="12.75" customHeight="1">
      <c r="D65" s="96" t="s">
        <v>152</v>
      </c>
    </row>
    <row r="66" spans="4:8" ht="12.75" customHeight="1">
      <c r="D66" s="96" t="s">
        <v>158</v>
      </c>
    </row>
    <row r="67" spans="4:8" ht="12.75" customHeight="1">
      <c r="D67" s="37"/>
    </row>
    <row r="68" spans="4:8">
      <c r="D68" s="36"/>
    </row>
    <row r="69" spans="4:8" ht="15.75">
      <c r="D69" s="37" t="s">
        <v>141</v>
      </c>
    </row>
    <row r="70" spans="4:8">
      <c r="D70" s="36"/>
    </row>
    <row r="71" spans="4:8">
      <c r="D71" s="91" t="s">
        <v>278</v>
      </c>
      <c r="E71" s="36" t="s">
        <v>146</v>
      </c>
      <c r="G71" s="39" t="str">
        <f>IF(Item_descrip="","",Item_descrip)</f>
        <v/>
      </c>
      <c r="H71" s="39"/>
    </row>
    <row r="72" spans="4:8">
      <c r="D72" s="36"/>
    </row>
    <row r="73" spans="4:8">
      <c r="D73" s="160" t="s">
        <v>210</v>
      </c>
      <c r="E73" s="36" t="str">
        <f>"Item weight in "&amp;IF(Measure="MS","kg","pound")&amp;":"</f>
        <v>Item weight in kg:</v>
      </c>
      <c r="G73" s="39">
        <f>Item_weight</f>
        <v>0</v>
      </c>
      <c r="H73" s="39"/>
    </row>
    <row r="74" spans="4:8">
      <c r="D74" s="36"/>
    </row>
    <row r="75" spans="4:8">
      <c r="D75" s="36" t="s">
        <v>145</v>
      </c>
    </row>
    <row r="77" spans="4:8">
      <c r="D77" s="36" t="s">
        <v>47</v>
      </c>
      <c r="F77" s="97" t="str">
        <f>IF(Calculation!I$15=0,Blank,Calculation!I$15)</f>
        <v/>
      </c>
    </row>
    <row r="78" spans="4:8">
      <c r="D78" s="36" t="s">
        <v>48</v>
      </c>
      <c r="F78" s="97" t="str">
        <f>IF(Calculation!K$15=0,Blank,Calculation!K$15)</f>
        <v/>
      </c>
      <c r="G78" s="98" t="str">
        <f>IF(OR(N(F77)=0,N(F78)=0),Blank,(F78-F77)/F77)</f>
        <v/>
      </c>
      <c r="H78" s="98" t="str">
        <f>IF(G78="",Blank,"growth")</f>
        <v/>
      </c>
    </row>
    <row r="79" spans="4:8">
      <c r="D79" s="36" t="s">
        <v>49</v>
      </c>
      <c r="F79" s="97" t="str">
        <f>IF(Calculation!M$15=0,Blank,Calculation!M$15)</f>
        <v/>
      </c>
      <c r="G79" s="98" t="str">
        <f>IF(OR(N(F78)=0,N(F79)=0),Blank,(F79-F78)/F78)</f>
        <v/>
      </c>
      <c r="H79" s="98" t="str">
        <f>IF(G79="",Blank,"growth")</f>
        <v/>
      </c>
    </row>
    <row r="80" spans="4:8">
      <c r="D80" s="36" t="s">
        <v>50</v>
      </c>
      <c r="F80" s="97" t="str">
        <f>IF(Calculation!O$15=0,Blank,Calculation!O$15)</f>
        <v/>
      </c>
      <c r="G80" s="98" t="str">
        <f>IF(OR(N(F79)=0,N(F80)=0),Blank,(F80-F79)/F79)</f>
        <v/>
      </c>
      <c r="H80" s="98" t="str">
        <f>IF(G80="",Blank,"growth")</f>
        <v/>
      </c>
    </row>
    <row r="81" spans="1:8">
      <c r="D81" s="36" t="s">
        <v>51</v>
      </c>
      <c r="F81" s="97" t="str">
        <f>IF(Calculation!Q$15=0,Blank,Calculation!Q$15)</f>
        <v/>
      </c>
      <c r="G81" s="98" t="str">
        <f>IF(OR(N(F80)=0,N(F81)=0),Blank,(F81-F80)/F80)</f>
        <v/>
      </c>
      <c r="H81" s="98" t="str">
        <f>IF(G81="",Blank,"growth")</f>
        <v/>
      </c>
    </row>
    <row r="82" spans="1:8">
      <c r="F82" s="97"/>
      <c r="G82" s="98"/>
      <c r="H82" s="98"/>
    </row>
    <row r="83" spans="1:8">
      <c r="F83" s="97"/>
      <c r="G83" s="98"/>
      <c r="H83" s="98"/>
    </row>
    <row r="84" spans="1:8" ht="15.75">
      <c r="D84" s="37" t="s">
        <v>144</v>
      </c>
    </row>
    <row r="85" spans="1:8">
      <c r="D85" s="36"/>
    </row>
    <row r="86" spans="1:8">
      <c r="A86" s="36">
        <f>IF(S1_stat&gt;0,1,0)</f>
        <v>0</v>
      </c>
      <c r="B86" s="36">
        <f>IF(S2_stat&gt;0,1,0)</f>
        <v>0</v>
      </c>
      <c r="D86" s="36" t="str">
        <f>"This Feasibility Study concerns of the following "&amp;(A86+B86)&amp;" "&amp;IF(A86+B86&lt;2,"study","studies")&amp;":"</f>
        <v>This Feasibility Study concerns of the following 0 study:</v>
      </c>
    </row>
    <row r="88" spans="1:8">
      <c r="D88" s="103" t="s">
        <v>130</v>
      </c>
    </row>
    <row r="89" spans="1:8">
      <c r="A89" s="36">
        <f>IF(S1_stat&gt;0,1,0)</f>
        <v>0</v>
      </c>
      <c r="D89" s="39" t="s">
        <v>227</v>
      </c>
      <c r="E89" s="36" t="str">
        <f>IF(A89=1,S1_type&amp;" "&amp;LOWER(S1_box)&amp;" box",Notype)</f>
        <v>Not current</v>
      </c>
    </row>
    <row r="90" spans="1:8">
      <c r="A90" s="36">
        <f>IF(S1_stat&gt;0,1,0)</f>
        <v>0</v>
      </c>
      <c r="D90" s="91" t="s">
        <v>276</v>
      </c>
      <c r="E90" s="36" t="str">
        <f>IF(AND(A90=1,NOT(S1_descrip="")),S1_descrip,Blank)</f>
        <v/>
      </c>
    </row>
    <row r="92" spans="1:8">
      <c r="D92" s="103" t="s">
        <v>131</v>
      </c>
    </row>
    <row r="93" spans="1:8">
      <c r="B93" s="36">
        <f>IF(S2_stat&gt;0,1,0)</f>
        <v>0</v>
      </c>
      <c r="D93" s="39" t="s">
        <v>227</v>
      </c>
      <c r="E93" s="36" t="str">
        <f>IF(B93=1,S2_type&amp;" "&amp;LOWER(S2_box)&amp;" box",Notype)</f>
        <v>Not current</v>
      </c>
    </row>
    <row r="94" spans="1:8">
      <c r="B94" s="36">
        <f>IF(S2_stat&gt;0,1,0)</f>
        <v>0</v>
      </c>
      <c r="D94" s="91" t="s">
        <v>276</v>
      </c>
      <c r="E94" s="36" t="str">
        <f>IF(AND(B94=1,NOT(S2_descrip="")),S2_descrip,Blank)</f>
        <v/>
      </c>
    </row>
    <row r="96" spans="1:8">
      <c r="F96" s="97"/>
      <c r="G96" s="98"/>
      <c r="H96" s="98"/>
    </row>
    <row r="97" spans="1:18">
      <c r="F97" s="97"/>
      <c r="G97" s="98"/>
      <c r="H97" s="98"/>
    </row>
    <row r="98" spans="1:18" ht="15.75" customHeight="1">
      <c r="D98" s="90" t="s">
        <v>64</v>
      </c>
      <c r="F98" s="87"/>
      <c r="G98" s="87"/>
      <c r="H98" s="87"/>
      <c r="I98" s="87"/>
      <c r="J98" s="87"/>
      <c r="K98" s="87"/>
      <c r="L98" s="87"/>
      <c r="M98" s="87"/>
      <c r="N98" s="87"/>
      <c r="P98" s="87"/>
      <c r="Q98" s="87"/>
      <c r="R98" s="87"/>
    </row>
    <row r="99" spans="1:18" ht="15.75" customHeight="1">
      <c r="D99" s="91" t="str">
        <f>IF(Cust_name="",Blank,Cust_name)</f>
        <v/>
      </c>
      <c r="F99" s="92"/>
      <c r="G99" s="92"/>
      <c r="H99" s="92"/>
      <c r="I99" s="92"/>
      <c r="J99" s="92"/>
      <c r="K99" s="92"/>
      <c r="L99" s="92"/>
      <c r="M99" s="40"/>
      <c r="N99" s="40"/>
      <c r="O99" s="38" t="s">
        <v>234</v>
      </c>
      <c r="P99" s="87"/>
      <c r="Q99" s="87"/>
      <c r="R99" s="87"/>
    </row>
    <row r="100" spans="1:18" ht="15.75" customHeight="1">
      <c r="C100" s="40"/>
      <c r="D100" s="93" t="str">
        <f>IF(Study_ver="",Blank,"Version: "&amp;Study_ver&amp;", ")&amp;IF(Study_date="",Blank,TEXT(Study_date,"d. mmmm åååå"))</f>
        <v/>
      </c>
      <c r="F100" s="92"/>
      <c r="G100" s="92"/>
      <c r="H100" s="92"/>
      <c r="I100" s="92"/>
      <c r="J100" s="92"/>
      <c r="K100" s="92"/>
      <c r="L100" s="92"/>
      <c r="M100" s="94"/>
      <c r="N100" s="94"/>
      <c r="O100" s="94"/>
      <c r="P100" s="95"/>
      <c r="Q100" s="95"/>
      <c r="R100" s="87"/>
    </row>
    <row r="101" spans="1:18">
      <c r="D101" s="36"/>
    </row>
    <row r="102" spans="1:18" ht="30" customHeight="1">
      <c r="D102" s="117" t="s">
        <v>355</v>
      </c>
      <c r="E102" s="117"/>
      <c r="F102" s="117"/>
      <c r="G102" s="118" t="s">
        <v>47</v>
      </c>
      <c r="H102" s="118"/>
      <c r="I102" s="119" t="s">
        <v>48</v>
      </c>
      <c r="J102" s="159"/>
      <c r="K102" s="118" t="s">
        <v>49</v>
      </c>
      <c r="L102" s="159"/>
      <c r="M102" s="119" t="s">
        <v>50</v>
      </c>
      <c r="N102" s="159"/>
      <c r="O102" s="118" t="s">
        <v>51</v>
      </c>
    </row>
    <row r="103" spans="1:18" ht="13.5" customHeight="1"/>
    <row r="104" spans="1:18" ht="13.5" customHeight="1">
      <c r="D104" s="39" t="str">
        <f>"Costs in "&amp;Currency</f>
        <v>Costs in EUR</v>
      </c>
    </row>
    <row r="105" spans="1:18" ht="13.5" customHeight="1"/>
    <row r="106" spans="1:18">
      <c r="A106" s="36">
        <f>IF(S1_stat&gt;0,1,0)</f>
        <v>0</v>
      </c>
      <c r="B106" s="36">
        <f>IF(S2_stat&gt;0,1,0)</f>
        <v>0</v>
      </c>
      <c r="D106" s="162" t="str">
        <f>IF(A106&gt;0,"Study 1:"&amp;S1_type&amp;" "&amp;LOWER(S1_box)&amp;" box",IF(B106&gt;0,"Study 2: "&amp;S2_type&amp;" "&amp;LOWER(S2_box)&amp;" box",Blank))</f>
        <v/>
      </c>
    </row>
    <row r="108" spans="1:18">
      <c r="A108" s="36">
        <f>IF(S1_stat&gt;0,1,0)</f>
        <v>0</v>
      </c>
      <c r="B108" s="36">
        <f>IF(S2_stat&gt;0,1,0)</f>
        <v>0</v>
      </c>
      <c r="D108" s="40" t="str">
        <f>IF(OR(AND(A108=1,S1_stat=2),AND(B108=1,S2_stat=2,A108=0)),"No. of purchased boxes",IF(A108+B108&gt;0,IF(N(S1_box_lease)=0,"No. of purchased boxes in circ.","No. of leased boxes in circulation"),Blank))</f>
        <v/>
      </c>
      <c r="G108" s="104" t="str">
        <f>IF($A108+$B108=0,Blank,IF($A108=1,IF(S1_stat=1,Calculation!I$55,Calculation!I$54),IF(S2_stat=1,Calculation!I$95,Calculation!I$94)))</f>
        <v/>
      </c>
      <c r="I108" s="104" t="str">
        <f>IF($A108+$B108=0,Blank,IF($A108=1,IF(S1_stat=1,Calculation!K$55,Calculation!K$54),IF(S2_stat=1,Calculation!K$95,Calculation!K$94)))</f>
        <v/>
      </c>
      <c r="K108" s="104" t="str">
        <f>IF($A108+$B108=0,Blank,IF($A108=1,IF(S1_stat=1,Calculation!M$55,Calculation!M$54),IF(S2_stat=1,Calculation!M$95,Calculation!M$94)))</f>
        <v/>
      </c>
      <c r="M108" s="104" t="str">
        <f>IF($A108+$B108=0,Blank,IF($A108=1,IF(S1_stat=1,Calculation!O$55,Calculation!O$54),IF(S2_stat=1,Calculation!O$95,Calculation!O$94)))</f>
        <v/>
      </c>
      <c r="O108" s="104" t="str">
        <f>IF($A108+$B108=0,Blank,IF($A108=1,IF(S1_stat=1,Calculation!Q$55,Calculation!Q$54),IF(S2_stat=1,Calculation!Q$95,Calculation!Q$94)))</f>
        <v/>
      </c>
    </row>
    <row r="109" spans="1:18">
      <c r="D109" s="40"/>
    </row>
    <row r="110" spans="1:18">
      <c r="A110" s="36">
        <f t="shared" ref="A110:A117" si="0">IF(S1_stat&gt;0,1,0)</f>
        <v>0</v>
      </c>
      <c r="B110" s="36">
        <f t="shared" ref="B110:B117" si="1">IF(S2_stat&gt;0,1,0)</f>
        <v>0</v>
      </c>
      <c r="D110" s="40" t="str">
        <f>IF(A110+B110&gt;0,"Cost boxes",Blank)</f>
        <v/>
      </c>
      <c r="F110" s="97"/>
      <c r="G110" s="97" t="str">
        <f>IF($A110+$B110=0,Blank,IF($A110=1,Calculation!I$57,Calculation!I$97))</f>
        <v/>
      </c>
      <c r="I110" s="97" t="str">
        <f>IF($A110+$B110=0,Blank,IF($A110=1,Calculation!K$57,Calculation!K$97))</f>
        <v/>
      </c>
      <c r="K110" s="97" t="str">
        <f>IF($A110+$B110=0,Blank,IF($A110=1,Calculation!M$57,Calculation!M$97))</f>
        <v/>
      </c>
      <c r="M110" s="97" t="str">
        <f>IF($A110+$B110=0,Blank,IF($A110=1,Calculation!O$57,Calculation!O$97))</f>
        <v/>
      </c>
      <c r="O110" s="97" t="str">
        <f>IF($A110+$B110=0,Blank,IF($A110=1,Calculation!Q$57,Calculation!Q$97))</f>
        <v/>
      </c>
    </row>
    <row r="111" spans="1:18">
      <c r="A111" s="36">
        <f t="shared" si="0"/>
        <v>0</v>
      </c>
      <c r="B111" s="36">
        <f t="shared" si="1"/>
        <v>0</v>
      </c>
      <c r="D111" s="55" t="str">
        <f>IF(A111+B111&gt;0,"Cost maintenance",Blank)</f>
        <v/>
      </c>
      <c r="F111" s="97"/>
      <c r="G111" s="97" t="str">
        <f>IF($A111+$B111=0,Blank,IF($A111=1,Calculation!I$58,Calculation!I$98))</f>
        <v/>
      </c>
      <c r="I111" s="97" t="str">
        <f>IF($A111+$B111=0,Blank,IF($A111=1,Calculation!K$58,Calculation!K$98))</f>
        <v/>
      </c>
      <c r="K111" s="97" t="str">
        <f>IF($A111+$B111=0,Blank,IF($A111=1,Calculation!M$58,Calculation!M$98))</f>
        <v/>
      </c>
      <c r="M111" s="97" t="str">
        <f>IF($A111+$B111=0,Blank,IF($A111=1,Calculation!O$58,Calculation!O$98))</f>
        <v/>
      </c>
      <c r="O111" s="97" t="str">
        <f>IF($A111+$B111=0,Blank,IF($A111=1,Calculation!Q$58,Calculation!Q$98))</f>
        <v/>
      </c>
    </row>
    <row r="112" spans="1:18">
      <c r="A112" s="36">
        <f t="shared" si="0"/>
        <v>0</v>
      </c>
      <c r="B112" s="36">
        <f t="shared" si="1"/>
        <v>0</v>
      </c>
      <c r="D112" s="55" t="str">
        <f>IF(A112+B112&gt;0,"Cost damage",Blank)</f>
        <v/>
      </c>
      <c r="F112" s="97"/>
      <c r="G112" s="97" t="str">
        <f>IF($A112+$B112=0,Blank,IF($A112=1,Calculation!I$59,Calculation!I$99))</f>
        <v/>
      </c>
      <c r="I112" s="97" t="str">
        <f>IF($A112+$B112=0,Blank,IF($A112=1,Calculation!K$59,Calculation!K$99))</f>
        <v/>
      </c>
      <c r="K112" s="97" t="str">
        <f>IF($A112+$B112=0,Blank,IF($A112=1,Calculation!M$59,Calculation!M$99))</f>
        <v/>
      </c>
      <c r="M112" s="97" t="str">
        <f>IF($A112+$B112=0,Blank,IF($A112=1,Calculation!O$59,Calculation!O$99))</f>
        <v/>
      </c>
      <c r="O112" s="97" t="str">
        <f>IF($A112+$B112=0,Blank,IF($A112=1,Calculation!Q$59,Calculation!Q$99))</f>
        <v/>
      </c>
    </row>
    <row r="113" spans="1:15">
      <c r="A113" s="36">
        <f t="shared" si="0"/>
        <v>0</v>
      </c>
      <c r="B113" s="36">
        <f t="shared" si="1"/>
        <v>0</v>
      </c>
      <c r="D113" s="55" t="str">
        <f>IF(A113+B113&gt;0,"Cost assembly",Blank)</f>
        <v/>
      </c>
      <c r="F113" s="97"/>
      <c r="G113" s="97" t="str">
        <f>IF($A113+$B113=0,Blank,IF($A113=1,Calculation!I$60,Calculation!I$100))</f>
        <v/>
      </c>
      <c r="I113" s="97" t="str">
        <f>IF($A113+$B113=0,Blank,IF($A113=1,Calculation!K$60,Calculation!K$100))</f>
        <v/>
      </c>
      <c r="K113" s="97" t="str">
        <f>IF($A113+$B113=0,Blank,IF($A113=1,Calculation!M$60,Calculation!M$100))</f>
        <v/>
      </c>
      <c r="M113" s="97" t="str">
        <f>IF($A113+$B113=0,Blank,IF($A113=1,Calculation!O$60,Calculation!O$100))</f>
        <v/>
      </c>
      <c r="O113" s="97" t="str">
        <f>IF($A113+$B113=0,Blank,IF($A113=1,Calculation!Q$60,Calculation!Q$100))</f>
        <v/>
      </c>
    </row>
    <row r="114" spans="1:15">
      <c r="A114" s="36">
        <f t="shared" si="0"/>
        <v>0</v>
      </c>
      <c r="B114" s="36">
        <f t="shared" si="1"/>
        <v>0</v>
      </c>
      <c r="D114" s="55" t="str">
        <f>IF(A114+B114&gt;0,"Cost transport sending",Blank)</f>
        <v/>
      </c>
      <c r="F114" s="35"/>
      <c r="G114" s="97" t="str">
        <f>IF($A114+$B114=0,Blank,IF($A114=1,Calculation!I$61,Calculation!I$101))</f>
        <v/>
      </c>
      <c r="I114" s="97" t="str">
        <f>IF($A114+$B114=0,Blank,IF($A114=1,Calculation!K$61,Calculation!K$101))</f>
        <v/>
      </c>
      <c r="K114" s="97" t="str">
        <f>IF($A114+$B114=0,Blank,IF($A114=1,Calculation!M$61,Calculation!M$101))</f>
        <v/>
      </c>
      <c r="M114" s="97" t="str">
        <f>IF($A114+$B114=0,Blank,IF($A114=1,Calculation!O$61,Calculation!O$101))</f>
        <v/>
      </c>
      <c r="O114" s="97" t="str">
        <f>IF($A114+$B114=0,Blank,IF($A114=1,Calculation!Q$61,Calculation!Q$101))</f>
        <v/>
      </c>
    </row>
    <row r="115" spans="1:15">
      <c r="A115" s="36">
        <f t="shared" si="0"/>
        <v>0</v>
      </c>
      <c r="B115" s="36">
        <f t="shared" si="1"/>
        <v>0</v>
      </c>
      <c r="D115" s="55" t="str">
        <f>IF(A115+B115&gt;0,"Cost transport return",Blank)</f>
        <v/>
      </c>
      <c r="F115" s="97"/>
      <c r="G115" s="97" t="str">
        <f>IF($A115+$B115=0,Blank,IF($A115=1,Calculation!I$62,Calculation!I$102))</f>
        <v/>
      </c>
      <c r="I115" s="97" t="str">
        <f>IF($A115+$B115=0,Blank,IF($A115=1,Calculation!K$62,Calculation!K$102))</f>
        <v/>
      </c>
      <c r="K115" s="97" t="str">
        <f>IF($A115+$B115=0,Blank,IF($A115=1,Calculation!M$62,Calculation!M$102))</f>
        <v/>
      </c>
      <c r="M115" s="97" t="str">
        <f>IF($A115+$B115=0,Blank,IF($A115=1,Calculation!O$62,Calculation!O$102))</f>
        <v/>
      </c>
      <c r="O115" s="97" t="str">
        <f>IF($A115+$B115=0,Blank,IF($A115=1,Calculation!Q$62,Calculation!Q$102))</f>
        <v/>
      </c>
    </row>
    <row r="116" spans="1:15">
      <c r="A116" s="36">
        <f t="shared" si="0"/>
        <v>0</v>
      </c>
      <c r="B116" s="36">
        <f t="shared" si="1"/>
        <v>0</v>
      </c>
      <c r="D116" s="55" t="str">
        <f>IF(A116+B116&gt;0,"Cost total per year",Blank)</f>
        <v/>
      </c>
      <c r="G116" s="132" t="str">
        <f>IF($A116+$B116=0,Blank,IF($A116=1,Calculation!I$63,Calculation!I$103))</f>
        <v/>
      </c>
      <c r="I116" s="132" t="str">
        <f>IF($A116+$B116=0,Blank,IF($A116=1,Calculation!K$63,Calculation!K$103))</f>
        <v/>
      </c>
      <c r="K116" s="132" t="str">
        <f>IF($A116+$B116=0,Blank,IF($A116=1,Calculation!M$63,Calculation!M$103))</f>
        <v/>
      </c>
      <c r="M116" s="132" t="str">
        <f>IF($A116+$B116=0,Blank,IF($A116=1,Calculation!O$63,Calculation!O$103))</f>
        <v/>
      </c>
      <c r="O116" s="132" t="str">
        <f>IF($A116+$B116=0,Blank,IF($A116=1,Calculation!Q$63,Calculation!Q$103))</f>
        <v/>
      </c>
    </row>
    <row r="117" spans="1:15">
      <c r="A117" s="36">
        <f t="shared" si="0"/>
        <v>0</v>
      </c>
      <c r="B117" s="36">
        <f t="shared" si="1"/>
        <v>0</v>
      </c>
      <c r="D117" s="55" t="str">
        <f>IF(A117+B117&gt;0,"Cost total accumulated",Blank)</f>
        <v/>
      </c>
      <c r="G117" s="97" t="str">
        <f>IF($A117+$B117=0,Blank,IF($A117=1,Calculation!I$64,Calculation!I$104))</f>
        <v/>
      </c>
      <c r="I117" s="97" t="str">
        <f>IF($A117+$B117=0,Blank,IF($A117=1,Calculation!K$64,Calculation!K$104))</f>
        <v/>
      </c>
      <c r="K117" s="97" t="str">
        <f>IF($A117+$B117=0,Blank,IF($A117=1,Calculation!M$64,Calculation!M$104))</f>
        <v/>
      </c>
      <c r="M117" s="97" t="str">
        <f>IF($A117+$B117=0,Blank,IF($A117=1,Calculation!O$64,Calculation!O$104))</f>
        <v/>
      </c>
      <c r="O117" s="97" t="str">
        <f>IF($A117+$B117=0,Blank,IF($A117=1,Calculation!Q$64,Calculation!Q$104))</f>
        <v/>
      </c>
    </row>
    <row r="118" spans="1:1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>
      <c r="A119" s="36">
        <v>0</v>
      </c>
      <c r="B119" s="36">
        <f>IF(AND(S1_stat&gt;0,S2_stat&gt;0),1,0)</f>
        <v>0</v>
      </c>
      <c r="D119" s="162" t="str">
        <f>IF(A119&gt;0,"Study 1:"&amp;S1_type&amp;" "&amp;LOWER(S1_box)&amp;" box",IF(B119&gt;0,"Study 2: "&amp;S2_type&amp;" "&amp;LOWER(S2_box)&amp;" box",Blank))</f>
        <v/>
      </c>
    </row>
    <row r="121" spans="1:15">
      <c r="A121" s="36">
        <v>0</v>
      </c>
      <c r="B121" s="36">
        <f>IF(AND(S1_stat&gt;0,S2_stat&gt;0),1,0)</f>
        <v>0</v>
      </c>
      <c r="D121" s="40" t="str">
        <f>IF(OR(AND(A121=1,S1_stat=2),AND(B121=1,S2_stat=2,A121=0)),"No. of purchased boxes",IF(A121+B121&gt;0,IF(N(S1_box_lease)=0,"No. of purchased boxes in circ.","No. of leased boxes in circulation"),Blank))</f>
        <v/>
      </c>
      <c r="G121" s="104" t="str">
        <f>IF($A121+$B121=0,Blank,IF($A121=1,IF(S1_stat=1,Calculation!I$55,Calculation!I$54),IF(S2_stat=1,Calculation!I$95,Calculation!I$94)))</f>
        <v/>
      </c>
      <c r="I121" s="104" t="str">
        <f>IF($A121+$B121=0,Blank,IF($A121=1,IF(S1_stat=1,Calculation!K$55,Calculation!K$54),IF(S2_stat=1,Calculation!K$95,Calculation!K$94)))</f>
        <v/>
      </c>
      <c r="K121" s="104" t="str">
        <f>IF($A121+$B121=0,Blank,IF($A121=1,IF(S1_stat=1,Calculation!M$55,Calculation!M$54),IF(S2_stat=1,Calculation!M$95,Calculation!M$94)))</f>
        <v/>
      </c>
      <c r="M121" s="104" t="str">
        <f>IF($A121+$B121=0,Blank,IF($A121=1,IF(S1_stat=1,Calculation!O$55,Calculation!O$54),IF(S2_stat=1,Calculation!O$95,Calculation!O$94)))</f>
        <v/>
      </c>
      <c r="O121" s="104" t="str">
        <f>IF($A121+$B121=0,Blank,IF($A121=1,IF(S1_stat=1,Calculation!Q$55,Calculation!Q$54),IF(S2_stat=1,Calculation!Q$95,Calculation!Q$94)))</f>
        <v/>
      </c>
    </row>
    <row r="122" spans="1:15">
      <c r="D122" s="40"/>
    </row>
    <row r="123" spans="1:15">
      <c r="A123" s="36">
        <v>0</v>
      </c>
      <c r="B123" s="36">
        <f t="shared" ref="B123:B130" si="2">IF(AND(S1_stat&gt;0,S2_stat&gt;0),1,0)</f>
        <v>0</v>
      </c>
      <c r="D123" s="40" t="str">
        <f>IF(A123+B123&gt;0,"Cost boxes",Blank)</f>
        <v/>
      </c>
      <c r="F123" s="97"/>
      <c r="G123" s="97" t="str">
        <f>IF($A123+$B123=0,Blank,IF($A123=1,Calculation!I$57,Calculation!I$97))</f>
        <v/>
      </c>
      <c r="I123" s="97" t="str">
        <f>IF($A123+$B123=0,Blank,IF($A123=1,Calculation!K$57,Calculation!K$97))</f>
        <v/>
      </c>
      <c r="K123" s="97" t="str">
        <f>IF($A123+$B123=0,Blank,IF($A123=1,Calculation!M$57,Calculation!M$97))</f>
        <v/>
      </c>
      <c r="M123" s="97" t="str">
        <f>IF($A123+$B123=0,Blank,IF($A123=1,Calculation!O$57,Calculation!O$97))</f>
        <v/>
      </c>
      <c r="O123" s="97" t="str">
        <f>IF($A123+$B123=0,Blank,IF($A123=1,Calculation!Q$57,Calculation!Q$97))</f>
        <v/>
      </c>
    </row>
    <row r="124" spans="1:15">
      <c r="A124" s="36">
        <v>0</v>
      </c>
      <c r="B124" s="36">
        <f t="shared" si="2"/>
        <v>0</v>
      </c>
      <c r="D124" s="55" t="str">
        <f>IF(A124+B124&gt;0,"Cost maintenance",Blank)</f>
        <v/>
      </c>
      <c r="F124" s="97"/>
      <c r="G124" s="97" t="str">
        <f>IF($A124+$B124=0,Blank,IF($A124=1,Calculation!I$58,Calculation!I$98))</f>
        <v/>
      </c>
      <c r="I124" s="97" t="str">
        <f>IF($A124+$B124=0,Blank,IF($A124=1,Calculation!K$58,Calculation!K$98))</f>
        <v/>
      </c>
      <c r="K124" s="97" t="str">
        <f>IF($A124+$B124=0,Blank,IF($A124=1,Calculation!M$58,Calculation!M$98))</f>
        <v/>
      </c>
      <c r="M124" s="97" t="str">
        <f>IF($A124+$B124=0,Blank,IF($A124=1,Calculation!O$58,Calculation!O$98))</f>
        <v/>
      </c>
      <c r="O124" s="97" t="str">
        <f>IF($A124+$B124=0,Blank,IF($A124=1,Calculation!Q$58,Calculation!Q$98))</f>
        <v/>
      </c>
    </row>
    <row r="125" spans="1:15">
      <c r="A125" s="36">
        <v>0</v>
      </c>
      <c r="B125" s="36">
        <f t="shared" si="2"/>
        <v>0</v>
      </c>
      <c r="D125" s="55" t="str">
        <f>IF(A125+B125&gt;0,"Cost damage",Blank)</f>
        <v/>
      </c>
      <c r="F125" s="97"/>
      <c r="G125" s="97" t="str">
        <f>IF($A125+$B125=0,Blank,IF($A125=1,Calculation!I$59,Calculation!I$99))</f>
        <v/>
      </c>
      <c r="I125" s="97" t="str">
        <f>IF($A125+$B125=0,Blank,IF($A125=1,Calculation!K$59,Calculation!K$99))</f>
        <v/>
      </c>
      <c r="K125" s="97" t="str">
        <f>IF($A125+$B125=0,Blank,IF($A125=1,Calculation!M$59,Calculation!M$99))</f>
        <v/>
      </c>
      <c r="M125" s="97" t="str">
        <f>IF($A125+$B125=0,Blank,IF($A125=1,Calculation!O$59,Calculation!O$99))</f>
        <v/>
      </c>
      <c r="O125" s="97" t="str">
        <f>IF($A125+$B125=0,Blank,IF($A125=1,Calculation!Q$59,Calculation!Q$99))</f>
        <v/>
      </c>
    </row>
    <row r="126" spans="1:15">
      <c r="A126" s="36">
        <v>0</v>
      </c>
      <c r="B126" s="36">
        <f t="shared" si="2"/>
        <v>0</v>
      </c>
      <c r="D126" s="55" t="str">
        <f>IF(A126+B126&gt;0,"Cost assembly",Blank)</f>
        <v/>
      </c>
      <c r="F126" s="97"/>
      <c r="G126" s="97" t="str">
        <f>IF($A126+$B126=0,Blank,IF($A126=1,Calculation!I$60,Calculation!I$100))</f>
        <v/>
      </c>
      <c r="I126" s="97" t="str">
        <f>IF($A126+$B126=0,Blank,IF($A126=1,Calculation!K$60,Calculation!K$100))</f>
        <v/>
      </c>
      <c r="K126" s="97" t="str">
        <f>IF($A126+$B126=0,Blank,IF($A126=1,Calculation!M$60,Calculation!M$100))</f>
        <v/>
      </c>
      <c r="M126" s="97" t="str">
        <f>IF($A126+$B126=0,Blank,IF($A126=1,Calculation!O$60,Calculation!O$100))</f>
        <v/>
      </c>
      <c r="O126" s="97" t="str">
        <f>IF($A126+$B126=0,Blank,IF($A126=1,Calculation!Q$60,Calculation!Q$100))</f>
        <v/>
      </c>
    </row>
    <row r="127" spans="1:15">
      <c r="A127" s="36">
        <v>0</v>
      </c>
      <c r="B127" s="36">
        <f t="shared" si="2"/>
        <v>0</v>
      </c>
      <c r="D127" s="55" t="str">
        <f>IF(A127+B127&gt;0,"Cost transport sending",Blank)</f>
        <v/>
      </c>
      <c r="F127" s="35"/>
      <c r="G127" s="97" t="str">
        <f>IF($A127+$B127=0,Blank,IF($A127=1,Calculation!I$61,Calculation!I$101))</f>
        <v/>
      </c>
      <c r="I127" s="97" t="str">
        <f>IF($A127+$B127=0,Blank,IF($A127=1,Calculation!K$61,Calculation!K$101))</f>
        <v/>
      </c>
      <c r="K127" s="97" t="str">
        <f>IF($A127+$B127=0,Blank,IF($A127=1,Calculation!M$61,Calculation!M$101))</f>
        <v/>
      </c>
      <c r="M127" s="97" t="str">
        <f>IF($A127+$B127=0,Blank,IF($A127=1,Calculation!O$61,Calculation!O$101))</f>
        <v/>
      </c>
      <c r="O127" s="97" t="str">
        <f>IF($A127+$B127=0,Blank,IF($A127=1,Calculation!Q$61,Calculation!Q$101))</f>
        <v/>
      </c>
    </row>
    <row r="128" spans="1:15">
      <c r="A128" s="36">
        <v>0</v>
      </c>
      <c r="B128" s="36">
        <f t="shared" si="2"/>
        <v>0</v>
      </c>
      <c r="D128" s="55" t="str">
        <f>IF(A128+B128&gt;0,"Cost transport return",Blank)</f>
        <v/>
      </c>
      <c r="F128" s="97"/>
      <c r="G128" s="97" t="str">
        <f>IF($A128+$B128=0,Blank,IF($A128=1,Calculation!I$62,Calculation!I$102))</f>
        <v/>
      </c>
      <c r="I128" s="97" t="str">
        <f>IF($A128+$B128=0,Blank,IF($A128=1,Calculation!K$62,Calculation!K$102))</f>
        <v/>
      </c>
      <c r="K128" s="97" t="str">
        <f>IF($A128+$B128=0,Blank,IF($A128=1,Calculation!M$62,Calculation!M$102))</f>
        <v/>
      </c>
      <c r="M128" s="97" t="str">
        <f>IF($A128+$B128=0,Blank,IF($A128=1,Calculation!O$62,Calculation!O$102))</f>
        <v/>
      </c>
      <c r="O128" s="97" t="str">
        <f>IF($A128+$B128=0,Blank,IF($A128=1,Calculation!Q$62,Calculation!Q$102))</f>
        <v/>
      </c>
    </row>
    <row r="129" spans="1:15">
      <c r="A129" s="36">
        <v>0</v>
      </c>
      <c r="B129" s="36">
        <f t="shared" si="2"/>
        <v>0</v>
      </c>
      <c r="D129" s="55" t="str">
        <f>IF(A129+B129&gt;0,"Cost total per year",Blank)</f>
        <v/>
      </c>
      <c r="G129" s="132" t="str">
        <f>IF($A129+$B129=0,Blank,IF($A129=1,Calculation!I$63,Calculation!I$103))</f>
        <v/>
      </c>
      <c r="I129" s="132" t="str">
        <f>IF($A129+$B129=0,Blank,IF($A129=1,Calculation!K$63,Calculation!K$103))</f>
        <v/>
      </c>
      <c r="K129" s="132" t="str">
        <f>IF($A129+$B129=0,Blank,IF($A129=1,Calculation!M$63,Calculation!M$103))</f>
        <v/>
      </c>
      <c r="M129" s="132" t="str">
        <f>IF($A129+$B129=0,Blank,IF($A129=1,Calculation!O$63,Calculation!O$103))</f>
        <v/>
      </c>
      <c r="O129" s="132" t="str">
        <f>IF($A129+$B129=0,Blank,IF($A129=1,Calculation!Q$63,Calculation!Q$103))</f>
        <v/>
      </c>
    </row>
    <row r="130" spans="1:15">
      <c r="A130" s="36">
        <v>0</v>
      </c>
      <c r="B130" s="36">
        <f t="shared" si="2"/>
        <v>0</v>
      </c>
      <c r="D130" s="55" t="str">
        <f>IF(A130+B130&gt;0,"Cost total accumulated",Blank)</f>
        <v/>
      </c>
      <c r="G130" s="97" t="str">
        <f>IF($A130+$B130=0,Blank,IF($A130=1,Calculation!I$64,Calculation!I$104))</f>
        <v/>
      </c>
      <c r="I130" s="97" t="str">
        <f>IF($A130+$B130=0,Blank,IF($A130=1,Calculation!K$64,Calculation!K$104))</f>
        <v/>
      </c>
      <c r="K130" s="97" t="str">
        <f>IF($A130+$B130=0,Blank,IF($A130=1,Calculation!M$64,Calculation!M$104))</f>
        <v/>
      </c>
      <c r="M130" s="97" t="str">
        <f>IF($A130+$B130=0,Blank,IF($A130=1,Calculation!O$64,Calculation!O$104))</f>
        <v/>
      </c>
      <c r="O130" s="97" t="str">
        <f>IF($A130+$B130=0,Blank,IF($A130=1,Calculation!Q$64,Calculation!Q$104))</f>
        <v/>
      </c>
    </row>
    <row r="131" spans="1:1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>
      <c r="A132" s="36">
        <f>IF(S1_stat&gt;0,1,0)</f>
        <v>0</v>
      </c>
      <c r="B132" s="36">
        <f>IF(AND(S1_stat&gt;0,S2_stat&gt;0),1,0)</f>
        <v>0</v>
      </c>
      <c r="D132" s="165" t="str">
        <f>IF(A132+B132=2,"Savings",Blank)</f>
        <v/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>
      <c r="D133" s="16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>
      <c r="A134" s="36">
        <f>IF(S1_stat&gt;0,1,0)</f>
        <v>0</v>
      </c>
      <c r="B134" s="36">
        <f>IF(AND(S1_stat&gt;0,S2_stat&gt;0),1,0)</f>
        <v>0</v>
      </c>
      <c r="D134" s="35" t="str">
        <f>IF(A134+B134=2,"Savings per year",Blank)</f>
        <v/>
      </c>
      <c r="E134" s="35"/>
      <c r="F134" s="35"/>
      <c r="G134" s="166" t="str">
        <f>IF(AND($A134+$B134=2,N(G116)&gt;0),IF(MAX($G$117:$O$117)&gt;MAX($G$130:$O$130),G$116-G$129,G$129-G$116),Blank)</f>
        <v/>
      </c>
      <c r="H134" s="35"/>
      <c r="I134" s="166" t="str">
        <f>IF(AND($A134+$B134=2,N(I116)&gt;0),IF(MAX($G$117:$O$117)&gt;MAX($G$130:$O$130),I$116-I$129,I$129-I$116),Blank)</f>
        <v/>
      </c>
      <c r="J134" s="35"/>
      <c r="K134" s="166" t="str">
        <f>IF(AND($A134+$B134=2,N(K116)&gt;0),IF(MAX($G$117:$O$117)&gt;MAX($G$130:$O$130),K$116-K$129,K$129-K$116),Blank)</f>
        <v/>
      </c>
      <c r="L134" s="35"/>
      <c r="M134" s="166" t="str">
        <f>IF(AND($A134+$B134=2,N(M116)&gt;0),IF(MAX($G$117:$O$117)&gt;MAX($G$130:$O$130),M$116-M$129,M$129-M$116),Blank)</f>
        <v/>
      </c>
      <c r="N134" s="35"/>
      <c r="O134" s="166" t="str">
        <f>IF(AND($A134+$B134=2,N(O116)&gt;0),IF(MAX($G$117:$O$117)&gt;MAX($G$130:$O$130),O$116-O$129,O$129-O$116),Blank)</f>
        <v/>
      </c>
    </row>
    <row r="135" spans="1:15">
      <c r="A135" s="36">
        <f>IF(S1_stat&gt;0,1,0)</f>
        <v>0</v>
      </c>
      <c r="B135" s="36">
        <f>IF(AND(S1_stat&gt;0,S2_stat&gt;0),1,0)</f>
        <v>0</v>
      </c>
      <c r="D135" s="35" t="str">
        <f>IF(A135+B135=2,"Savings accumulated",Blank)</f>
        <v/>
      </c>
      <c r="E135" s="35"/>
      <c r="F135" s="35"/>
      <c r="G135" s="166" t="str">
        <f>IF(AND($A135+$B135=2,N(G116)&gt;0),IF(MAX($G$117:$O$117)&gt;MAX($G$130:$O$130),G$117-G$130,G$130-G$117),Blank)</f>
        <v/>
      </c>
      <c r="H135" s="35"/>
      <c r="I135" s="166" t="str">
        <f>IF(AND($A135+$B135=2,N(I116)&gt;0),IF(MAX($G$117:$O$117)&gt;MAX($G$130:$O$130),I$117-I$130,I$130-I$117),Blank)</f>
        <v/>
      </c>
      <c r="J135" s="35"/>
      <c r="K135" s="166" t="str">
        <f>IF(AND($A135+$B135=2,N(K116)&gt;0),IF(MAX($G$117:$O$117)&gt;MAX($G$130:$O$130),K$117-K$130,K$130-K$117),Blank)</f>
        <v/>
      </c>
      <c r="L135" s="35"/>
      <c r="M135" s="166" t="str">
        <f>IF(AND($A135+$B135=2,N(M116)&gt;0),IF(MAX($G$117:$O$117)&gt;MAX($G$130:$O$130),M$117-M$130,M$130-M$117),Blank)</f>
        <v/>
      </c>
      <c r="N135" s="35"/>
      <c r="O135" s="166" t="str">
        <f>IF(AND($A135+$B135=2,N(O116)&gt;0),IF(MAX($G$117:$O$117)&gt;MAX($G$130:$O$130),O$117-O$130,O$130-O$117),Blank)</f>
        <v/>
      </c>
    </row>
    <row r="136" spans="1:1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>
      <c r="F140" s="97"/>
      <c r="K140" s="97"/>
      <c r="M140" s="97"/>
    </row>
    <row r="141" spans="1:15">
      <c r="F141" s="97"/>
      <c r="K141" s="97"/>
      <c r="M141" s="97"/>
    </row>
    <row r="142" spans="1:15">
      <c r="F142" s="97"/>
      <c r="K142" s="97"/>
      <c r="M142" s="97"/>
    </row>
    <row r="143" spans="1:15">
      <c r="F143" s="97"/>
      <c r="K143" s="97"/>
      <c r="M143" s="97"/>
    </row>
    <row r="144" spans="1:15">
      <c r="F144" s="97"/>
      <c r="K144" s="97"/>
      <c r="M144" s="97"/>
    </row>
    <row r="145" spans="3:18">
      <c r="F145" s="97"/>
      <c r="K145" s="97"/>
      <c r="M145" s="97"/>
    </row>
    <row r="146" spans="3:18">
      <c r="F146" s="97"/>
      <c r="K146" s="97"/>
      <c r="M146" s="97"/>
    </row>
    <row r="147" spans="3:18">
      <c r="F147" s="97"/>
      <c r="K147" s="97"/>
      <c r="M147" s="97"/>
    </row>
    <row r="148" spans="3:18">
      <c r="F148" s="97"/>
      <c r="K148" s="97"/>
      <c r="M148" s="97"/>
    </row>
    <row r="149" spans="3:18">
      <c r="F149" s="97"/>
      <c r="K149" s="97"/>
      <c r="M149" s="97"/>
    </row>
    <row r="154" spans="3:18">
      <c r="F154" s="97"/>
      <c r="K154" s="97"/>
      <c r="M154" s="97"/>
      <c r="O154" s="97"/>
    </row>
    <row r="155" spans="3:18">
      <c r="F155" s="97"/>
      <c r="K155" s="97"/>
      <c r="M155" s="97"/>
      <c r="O155" s="97"/>
    </row>
    <row r="157" spans="3:18" ht="15.75" customHeight="1">
      <c r="D157" s="90" t="s">
        <v>64</v>
      </c>
      <c r="F157" s="87"/>
      <c r="G157" s="87"/>
      <c r="H157" s="87"/>
      <c r="I157" s="87"/>
      <c r="J157" s="87"/>
      <c r="K157" s="87"/>
      <c r="L157" s="87"/>
      <c r="M157" s="87"/>
      <c r="N157" s="87"/>
      <c r="P157" s="87"/>
      <c r="Q157" s="87"/>
      <c r="R157" s="87"/>
    </row>
    <row r="158" spans="3:18" ht="15.75" customHeight="1">
      <c r="D158" s="91" t="str">
        <f>IF(Cust_name="",Blank,Cust_name)</f>
        <v/>
      </c>
      <c r="F158" s="92"/>
      <c r="G158" s="92"/>
      <c r="H158" s="92"/>
      <c r="I158" s="92"/>
      <c r="J158" s="92"/>
      <c r="K158" s="92"/>
      <c r="L158" s="92"/>
      <c r="M158" s="40"/>
      <c r="N158" s="40"/>
      <c r="O158" s="38" t="s">
        <v>235</v>
      </c>
      <c r="P158" s="87"/>
      <c r="Q158" s="87"/>
      <c r="R158" s="87"/>
    </row>
    <row r="159" spans="3:18" ht="15.75" customHeight="1">
      <c r="C159" s="40"/>
      <c r="D159" s="93" t="str">
        <f>IF(Study_ver="",Blank,"Version: "&amp;Study_ver&amp;", ")&amp;IF(Study_date="",Blank,TEXT(Study_date,"d. mmmm åååå"))</f>
        <v/>
      </c>
      <c r="F159" s="92"/>
      <c r="G159" s="92"/>
      <c r="H159" s="92"/>
      <c r="I159" s="92"/>
      <c r="J159" s="92"/>
      <c r="K159" s="92"/>
      <c r="L159" s="92"/>
      <c r="M159" s="94"/>
      <c r="N159" s="94"/>
      <c r="O159" s="94"/>
      <c r="P159" s="95"/>
      <c r="Q159" s="95"/>
      <c r="R159" s="87"/>
    </row>
    <row r="160" spans="3:18">
      <c r="D160" s="36"/>
      <c r="F160" s="40"/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1:15" ht="12.75" customHeight="1">
      <c r="D161" s="79"/>
      <c r="F161" s="40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1:15" ht="12.75" customHeight="1">
      <c r="D162" s="212" t="s">
        <v>116</v>
      </c>
      <c r="E162" s="212"/>
      <c r="F162" s="212"/>
      <c r="G162" s="157"/>
      <c r="H162" s="157"/>
      <c r="I162" s="157"/>
      <c r="J162" s="99"/>
      <c r="K162" s="100" t="s">
        <v>130</v>
      </c>
      <c r="L162" s="99"/>
      <c r="M162" s="100" t="s">
        <v>131</v>
      </c>
      <c r="N162" s="99"/>
      <c r="O162" s="99"/>
    </row>
    <row r="163" spans="1:15" ht="39.950000000000003" customHeight="1">
      <c r="A163" s="36">
        <f>IF(S1_stat&gt;0,1,0)</f>
        <v>0</v>
      </c>
      <c r="B163" s="36">
        <f>IF(S2_stat&gt;0,1,0)</f>
        <v>0</v>
      </c>
      <c r="D163" s="213"/>
      <c r="E163" s="213"/>
      <c r="F163" s="213"/>
      <c r="G163" s="158"/>
      <c r="H163" s="158"/>
      <c r="I163" s="158"/>
      <c r="J163" s="101"/>
      <c r="K163" s="102" t="str">
        <f>IF($A163=1,S1_type&amp;" "&amp;LOWER(S1_box)&amp;" box",Notype)</f>
        <v>Not current</v>
      </c>
      <c r="L163" s="101"/>
      <c r="M163" s="102" t="str">
        <f>IF($B163=1,S2_type&amp;" "&amp;LOWER(S2_box)&amp;" box",Notype)</f>
        <v>Not current</v>
      </c>
      <c r="N163" s="101"/>
      <c r="O163" s="101"/>
    </row>
    <row r="164" spans="1:15">
      <c r="D164" s="36"/>
    </row>
    <row r="165" spans="1:15">
      <c r="D165" s="36"/>
    </row>
    <row r="166" spans="1:15">
      <c r="E166" s="103" t="s">
        <v>231</v>
      </c>
    </row>
    <row r="167" spans="1:15">
      <c r="A167" s="36">
        <f>IF(S1_stat&gt;0,1,0)</f>
        <v>0</v>
      </c>
      <c r="B167" s="36">
        <f>IF(S2_stat&gt;0,1,0)</f>
        <v>0</v>
      </c>
      <c r="D167" s="91" t="s">
        <v>281</v>
      </c>
      <c r="E167" s="36" t="s">
        <v>133</v>
      </c>
      <c r="I167" s="40" t="str">
        <f>IF(Measure="MS","mm","inch")</f>
        <v>mm</v>
      </c>
      <c r="K167" s="97" t="str">
        <f>IF($A167=1,S1_box_l,Blank)</f>
        <v/>
      </c>
      <c r="L167" s="97"/>
      <c r="M167" s="97" t="str">
        <f>IF($B167=1,S2_box_l,"")</f>
        <v/>
      </c>
      <c r="N167" s="97"/>
    </row>
    <row r="168" spans="1:15">
      <c r="A168" s="36">
        <f>IF(S1_stat&gt;0,1,0)</f>
        <v>0</v>
      </c>
      <c r="B168" s="36">
        <f>IF(S2_stat&gt;0,1,0)</f>
        <v>0</v>
      </c>
      <c r="D168" s="91" t="s">
        <v>282</v>
      </c>
      <c r="E168" s="36" t="s">
        <v>134</v>
      </c>
      <c r="I168" s="40" t="str">
        <f>IF(Measure="MS","mm","inch")</f>
        <v>mm</v>
      </c>
      <c r="K168" s="97" t="str">
        <f>IF($A168=1,S1_box_w,Blank)</f>
        <v/>
      </c>
      <c r="L168" s="97"/>
      <c r="M168" s="97" t="str">
        <f>IF($B168=1,S2_box_w,"")</f>
        <v/>
      </c>
      <c r="N168" s="97"/>
    </row>
    <row r="169" spans="1:15">
      <c r="A169" s="36">
        <f>IF(S1_stat&gt;0,1,0)</f>
        <v>0</v>
      </c>
      <c r="B169" s="36">
        <f>IF(S2_stat&gt;0,1,0)</f>
        <v>0</v>
      </c>
      <c r="D169" s="91" t="s">
        <v>283</v>
      </c>
      <c r="E169" s="36" t="s">
        <v>135</v>
      </c>
      <c r="I169" s="40" t="str">
        <f>IF(Measure="MS","mm","inch")</f>
        <v>mm</v>
      </c>
      <c r="K169" s="97" t="str">
        <f>IF($A169=1,S1_box_h,Blank)</f>
        <v/>
      </c>
      <c r="L169" s="97"/>
      <c r="M169" s="97" t="str">
        <f>IF($B169=1,S2_box_h,"")</f>
        <v/>
      </c>
      <c r="N169" s="97"/>
    </row>
    <row r="170" spans="1:15">
      <c r="A170" s="36">
        <f>IF(S1_stat&gt;0,1,0)</f>
        <v>0</v>
      </c>
      <c r="B170" s="36">
        <f>IF(S2_stat&gt;0,1,0)</f>
        <v>0</v>
      </c>
      <c r="E170" s="36" t="s">
        <v>136</v>
      </c>
      <c r="I170" s="40" t="str">
        <f>IF(Measure="MS","m3","cu.foot")</f>
        <v>m3</v>
      </c>
      <c r="K170" s="104" t="str">
        <f>IF($A170=1,S1_box_vol,Blank)</f>
        <v/>
      </c>
      <c r="L170" s="104"/>
      <c r="M170" s="104" t="str">
        <f>IF($B170=1,S2_box_vol,Blank)</f>
        <v/>
      </c>
      <c r="N170" s="104"/>
    </row>
    <row r="172" spans="1:15">
      <c r="A172" s="36">
        <f>IF(S1_stat=1,1,0)</f>
        <v>0</v>
      </c>
      <c r="B172" s="36">
        <f>IF(S2_stat=1,1,0)</f>
        <v>0</v>
      </c>
      <c r="D172" s="91" t="s">
        <v>284</v>
      </c>
      <c r="E172" s="36" t="s">
        <v>107</v>
      </c>
      <c r="I172" s="40" t="str">
        <f>IF(Measure="MS","mm","inch")</f>
        <v>mm</v>
      </c>
      <c r="K172" s="97" t="str">
        <f>IF($A172=1,S1_box_ch,Blank)</f>
        <v/>
      </c>
      <c r="L172" s="97"/>
      <c r="M172" s="97" t="str">
        <f>IF($B172=1,S2_box_ch,Blank)</f>
        <v/>
      </c>
      <c r="N172" s="97"/>
    </row>
    <row r="173" spans="1:15">
      <c r="K173" s="97"/>
      <c r="L173" s="97"/>
      <c r="M173" s="97"/>
      <c r="N173" s="97"/>
    </row>
    <row r="174" spans="1:15">
      <c r="A174" s="36">
        <f>IF(S1_stat&gt;0,1,0)</f>
        <v>0</v>
      </c>
      <c r="B174" s="36">
        <f>IF(S2_stat&gt;0,1,0)</f>
        <v>0</v>
      </c>
      <c r="D174" s="91" t="s">
        <v>285</v>
      </c>
      <c r="E174" s="36" t="s">
        <v>105</v>
      </c>
      <c r="I174" s="40" t="str">
        <f>IF(Measure="MS","mm","inch")</f>
        <v>mm</v>
      </c>
      <c r="K174" s="97" t="str">
        <f>IF($A174=1,S1_box_mt,"")</f>
        <v/>
      </c>
      <c r="L174" s="97"/>
      <c r="M174" s="97" t="str">
        <f>IF($B174=1,S2_box_mt,"")</f>
        <v/>
      </c>
      <c r="N174" s="97"/>
    </row>
    <row r="176" spans="1:15">
      <c r="A176" s="36">
        <f>IF(S1_stat&gt;0,1,0)</f>
        <v>0</v>
      </c>
      <c r="B176" s="36">
        <f>IF(S2_stat&gt;0,1,0)</f>
        <v>0</v>
      </c>
      <c r="D176" s="91" t="s">
        <v>286</v>
      </c>
      <c r="E176" s="36" t="s">
        <v>106</v>
      </c>
      <c r="I176" s="40" t="str">
        <f>IF(Measure="MS","mm","inch")</f>
        <v>mm</v>
      </c>
      <c r="K176" s="97" t="str">
        <f>IF($A176=1,S1_box_bh,"")</f>
        <v/>
      </c>
      <c r="L176" s="97"/>
      <c r="M176" s="97" t="str">
        <f>IF($B176=1,S2_box_bh,"")</f>
        <v/>
      </c>
      <c r="N176" s="97"/>
    </row>
    <row r="178" spans="1:14">
      <c r="A178" s="36">
        <f>IF(S1_stat=1,1,0)</f>
        <v>0</v>
      </c>
      <c r="B178" s="36">
        <f>IF(S2_stat=1,1,0)</f>
        <v>0</v>
      </c>
      <c r="E178" s="36" t="s">
        <v>138</v>
      </c>
      <c r="I178" s="40" t="str">
        <f>IF(Measure="MS","m3","cu.foot")</f>
        <v>m3</v>
      </c>
      <c r="K178" s="104" t="str">
        <f>IF($A178=1,IF(Measure="MS",K167*K168*K172/1000/1000/1000,K167*K168*K172/12/12/12),Blank)</f>
        <v/>
      </c>
      <c r="L178" s="97"/>
      <c r="M178" s="104" t="str">
        <f>IF($B178=1,IF(Measure="MS",M167*M168*M172/1000/1000/1000,M167*M168*M172/12/12/12),Blank)</f>
        <v/>
      </c>
      <c r="N178" s="104"/>
    </row>
    <row r="180" spans="1:14">
      <c r="A180" s="36">
        <f>IF(S1_stat&gt;0,1,0)</f>
        <v>0</v>
      </c>
      <c r="B180" s="36">
        <f>IF(S2_stat&gt;0,1,0)</f>
        <v>0</v>
      </c>
      <c r="D180" s="91" t="s">
        <v>287</v>
      </c>
      <c r="E180" s="36" t="s">
        <v>244</v>
      </c>
      <c r="I180" s="53" t="str">
        <f>IF(Measure="MS","kg","pound")</f>
        <v>kg</v>
      </c>
      <c r="K180" s="97" t="str">
        <f>IF($A180=1,S1_box_weight,Blank)</f>
        <v/>
      </c>
      <c r="L180" s="97"/>
      <c r="M180" s="97" t="str">
        <f>IF($B180=1,S2_box_weight,Blank)</f>
        <v/>
      </c>
      <c r="N180" s="97"/>
    </row>
    <row r="182" spans="1:14">
      <c r="A182" s="36">
        <f>IF(S1_stat&gt;0,1,0)</f>
        <v>0</v>
      </c>
      <c r="B182" s="36">
        <f>IF(S2_stat&gt;0,1,0)</f>
        <v>0</v>
      </c>
      <c r="D182" s="91" t="s">
        <v>288</v>
      </c>
      <c r="E182" s="36" t="s">
        <v>108</v>
      </c>
      <c r="K182" s="105" t="str">
        <f>IF($A182=1,S1_box_hand,Blank)</f>
        <v/>
      </c>
      <c r="L182" s="105"/>
      <c r="M182" s="105" t="str">
        <f>IF($B182=1,S2_box_hand,Blank)</f>
        <v/>
      </c>
      <c r="N182" s="105"/>
    </row>
    <row r="184" spans="1:14">
      <c r="A184" s="36">
        <f>IF(S1_stat&gt;0,1,0)</f>
        <v>0</v>
      </c>
      <c r="B184" s="36">
        <f>IF(S2_stat&gt;0,1,0)</f>
        <v>0</v>
      </c>
      <c r="D184" s="91" t="s">
        <v>289</v>
      </c>
      <c r="E184" s="36" t="s">
        <v>109</v>
      </c>
      <c r="K184" s="105" t="str">
        <f>IF($A184=1,S1_box_item,Blank)</f>
        <v/>
      </c>
      <c r="L184" s="105"/>
      <c r="M184" s="105" t="str">
        <f>IF($B184=1,S2_box_item,Blank)</f>
        <v/>
      </c>
      <c r="N184" s="105"/>
    </row>
    <row r="185" spans="1:14">
      <c r="K185" s="105"/>
      <c r="L185" s="105"/>
      <c r="M185" s="105"/>
      <c r="N185" s="105"/>
    </row>
    <row r="186" spans="1:14">
      <c r="K186" s="105"/>
      <c r="L186" s="105"/>
      <c r="M186" s="105"/>
      <c r="N186" s="105"/>
    </row>
    <row r="187" spans="1:14">
      <c r="E187" s="103" t="s">
        <v>243</v>
      </c>
      <c r="K187" s="105"/>
      <c r="L187" s="105"/>
      <c r="M187" s="105"/>
      <c r="N187" s="105"/>
    </row>
    <row r="188" spans="1:14">
      <c r="A188" s="36">
        <f>IF(S1_stat&gt;0,1,0)</f>
        <v>0</v>
      </c>
      <c r="B188" s="36">
        <f>IF(S2_stat&gt;0,1,0)</f>
        <v>0</v>
      </c>
      <c r="D188" s="91" t="s">
        <v>211</v>
      </c>
      <c r="E188" s="40" t="s">
        <v>159</v>
      </c>
      <c r="I188" s="36" t="str">
        <f>Currency</f>
        <v>EUR</v>
      </c>
      <c r="K188" s="106" t="str">
        <f>IF($A188=1,'Data collection'!I59,Blank)</f>
        <v/>
      </c>
      <c r="L188" s="105"/>
      <c r="M188" s="106" t="str">
        <f>IF($B188=1,'Data collection'!K59,"")</f>
        <v/>
      </c>
      <c r="N188" s="105"/>
    </row>
    <row r="189" spans="1:14">
      <c r="A189" s="36">
        <f>IF(S1_stat&gt;0,1,0)</f>
        <v>0</v>
      </c>
      <c r="B189" s="36">
        <f>IF(S2_stat&gt;0,1,0)</f>
        <v>0</v>
      </c>
      <c r="D189" s="190" t="s">
        <v>290</v>
      </c>
      <c r="E189" s="40" t="s">
        <v>150</v>
      </c>
      <c r="I189" s="36" t="str">
        <f>Currency</f>
        <v>EUR</v>
      </c>
      <c r="K189" s="106" t="str">
        <f>IF($A189=1,'Data collection'!I60,Blank)</f>
        <v/>
      </c>
      <c r="L189" s="105"/>
      <c r="M189" s="106" t="str">
        <f>IF($B189=1,'Data collection'!K60,"")</f>
        <v/>
      </c>
      <c r="N189" s="105"/>
    </row>
    <row r="190" spans="1:14">
      <c r="A190" s="36">
        <f>IF(AND(S1_stat&gt;0,NOT('Data collection'!I61="")),1,0)</f>
        <v>0</v>
      </c>
      <c r="B190" s="36">
        <f>IF(AND(S2_stat&gt;0,NOT('Data collection'!K61="")),1,0)</f>
        <v>0</v>
      </c>
      <c r="D190" s="91" t="s">
        <v>291</v>
      </c>
      <c r="E190" s="36" t="str">
        <f>IF(A190+B190&gt;0,IF('Data collection'!F61="",Blank,'Data collection'!F61),Notype)</f>
        <v>Not current</v>
      </c>
      <c r="I190" s="36" t="str">
        <f>IF(A190+B190&gt;0,Currency,Blank)</f>
        <v/>
      </c>
      <c r="K190" s="106" t="str">
        <f>IF($A190=1,'Data collection'!I61,Blank)</f>
        <v/>
      </c>
      <c r="L190" s="105"/>
      <c r="M190" s="106" t="str">
        <f>IF($B190=1,'Data collection'!K61,"")</f>
        <v/>
      </c>
      <c r="N190" s="105"/>
    </row>
    <row r="191" spans="1:14">
      <c r="A191" s="36">
        <f>IF(AND(S1_stat&gt;0,NOT('Data collection'!I62="")),1,0)</f>
        <v>0</v>
      </c>
      <c r="B191" s="36">
        <f>IF(AND(S2_stat&gt;0,NOT('Data collection'!K62="")),1,0)</f>
        <v>0</v>
      </c>
      <c r="D191" s="91" t="s">
        <v>292</v>
      </c>
      <c r="E191" s="36" t="str">
        <f>IF(A191+B191&gt;0,IF('Data collection'!F62="",Blank,'Data collection'!F62),Notype)</f>
        <v>Not current</v>
      </c>
      <c r="I191" s="36" t="str">
        <f>IF(A191+B191&gt;0,Currency,Blank)</f>
        <v/>
      </c>
      <c r="K191" s="106" t="str">
        <f>IF($A191=1,'Data collection'!I62,"")</f>
        <v/>
      </c>
      <c r="L191" s="105"/>
      <c r="M191" s="106" t="str">
        <f>IF($B191=1,'Data collection'!K62,"")</f>
        <v/>
      </c>
      <c r="N191" s="105"/>
    </row>
    <row r="192" spans="1:14">
      <c r="A192" s="36">
        <f>IF(S1_stat&gt;0,1,0)</f>
        <v>0</v>
      </c>
      <c r="B192" s="36">
        <f>IF(S2_stat&gt;0,1,0)</f>
        <v>0</v>
      </c>
      <c r="E192" s="36" t="s">
        <v>139</v>
      </c>
      <c r="I192" s="36" t="str">
        <f>Currency</f>
        <v>EUR</v>
      </c>
      <c r="K192" s="107" t="str">
        <f>IF($A192=1,S1_box_price,"")</f>
        <v/>
      </c>
      <c r="L192" s="108"/>
      <c r="M192" s="107" t="str">
        <f>IF($B192=1,S2_box_price,"")</f>
        <v/>
      </c>
      <c r="N192" s="109"/>
    </row>
    <row r="193" spans="1:18">
      <c r="K193" s="110"/>
      <c r="L193" s="108"/>
      <c r="M193" s="110"/>
      <c r="N193" s="109"/>
    </row>
    <row r="194" spans="1:18">
      <c r="A194" s="36">
        <f>IF(S1_stat&gt;0,1,0)</f>
        <v>0</v>
      </c>
      <c r="B194" s="36">
        <f>IF(S2_stat&gt;0,1,0)</f>
        <v>0</v>
      </c>
      <c r="D194" s="91" t="s">
        <v>293</v>
      </c>
      <c r="E194" s="40" t="s">
        <v>245</v>
      </c>
      <c r="I194" s="36" t="str">
        <f>Currency</f>
        <v>EUR</v>
      </c>
      <c r="K194" s="106" t="str">
        <f>IF($A194=1,S1_box_lease,"")</f>
        <v/>
      </c>
      <c r="L194" s="105"/>
      <c r="M194" s="106" t="str">
        <f>IF($B194=1,S2_box_lease,"")</f>
        <v/>
      </c>
      <c r="N194" s="105"/>
    </row>
    <row r="195" spans="1:18"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18" ht="15.75" customHeight="1">
      <c r="D196" s="90" t="s">
        <v>64</v>
      </c>
      <c r="F196" s="87"/>
      <c r="G196" s="87"/>
      <c r="H196" s="87"/>
      <c r="I196" s="87"/>
      <c r="J196" s="87"/>
      <c r="K196" s="87"/>
      <c r="L196" s="87"/>
      <c r="M196" s="87"/>
      <c r="N196" s="87"/>
      <c r="P196" s="87"/>
      <c r="Q196" s="87"/>
      <c r="R196" s="87"/>
    </row>
    <row r="197" spans="1:18" ht="15.75" customHeight="1">
      <c r="D197" s="91" t="str">
        <f>IF(Cust_name="",Blank,Cust_name)</f>
        <v/>
      </c>
      <c r="F197" s="92"/>
      <c r="G197" s="92"/>
      <c r="H197" s="92"/>
      <c r="I197" s="92"/>
      <c r="J197" s="92"/>
      <c r="K197" s="92"/>
      <c r="L197" s="92"/>
      <c r="M197" s="40"/>
      <c r="N197" s="40"/>
      <c r="O197" s="38" t="s">
        <v>236</v>
      </c>
      <c r="P197" s="87"/>
      <c r="Q197" s="87"/>
      <c r="R197" s="87"/>
    </row>
    <row r="198" spans="1:18" ht="15.75" customHeight="1">
      <c r="C198" s="40"/>
      <c r="D198" s="93" t="str">
        <f>IF(Study_ver="",Blank,"Version: "&amp;Study_ver&amp;", ")&amp;IF(Study_date="",Blank,TEXT(Study_date,"d. mmmm åååå"))</f>
        <v/>
      </c>
      <c r="F198" s="92"/>
      <c r="G198" s="92"/>
      <c r="H198" s="92"/>
      <c r="I198" s="92"/>
      <c r="J198" s="92"/>
      <c r="K198" s="92"/>
      <c r="L198" s="92"/>
      <c r="M198" s="94"/>
      <c r="N198" s="94"/>
      <c r="O198" s="94"/>
      <c r="P198" s="95"/>
      <c r="Q198" s="95"/>
      <c r="R198" s="87"/>
    </row>
    <row r="199" spans="1:18" ht="12.75" customHeight="1">
      <c r="C199" s="40"/>
      <c r="D199" s="93"/>
      <c r="F199" s="92"/>
      <c r="G199" s="92"/>
      <c r="H199" s="92"/>
      <c r="I199" s="92"/>
      <c r="J199" s="92"/>
      <c r="K199" s="92"/>
      <c r="L199" s="92"/>
      <c r="M199" s="111"/>
      <c r="N199" s="111"/>
      <c r="O199" s="111"/>
      <c r="P199" s="95"/>
      <c r="Q199" s="95"/>
      <c r="R199" s="87"/>
    </row>
    <row r="200" spans="1:18" ht="12.75" customHeight="1">
      <c r="D200" s="79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8" ht="12.75" customHeight="1">
      <c r="D201" s="212" t="s">
        <v>153</v>
      </c>
      <c r="E201" s="212"/>
      <c r="F201" s="212"/>
      <c r="G201" s="212"/>
      <c r="H201" s="212"/>
      <c r="I201" s="157"/>
      <c r="J201" s="99"/>
      <c r="K201" s="100" t="s">
        <v>130</v>
      </c>
      <c r="L201" s="99"/>
      <c r="M201" s="100" t="s">
        <v>131</v>
      </c>
      <c r="N201" s="99"/>
      <c r="O201" s="99"/>
    </row>
    <row r="202" spans="1:18" ht="39.950000000000003" customHeight="1">
      <c r="A202" s="36">
        <f>IF(S1_stat&gt;0,1,0)</f>
        <v>0</v>
      </c>
      <c r="B202" s="36">
        <f>IF(S2_stat&gt;0,1,0)</f>
        <v>0</v>
      </c>
      <c r="D202" s="213"/>
      <c r="E202" s="213"/>
      <c r="F202" s="213"/>
      <c r="G202" s="213"/>
      <c r="H202" s="213"/>
      <c r="I202" s="158"/>
      <c r="J202" s="101"/>
      <c r="K202" s="102" t="str">
        <f>IF($A202=1,S1_type&amp;" "&amp;LOWER(S1_box)&amp;" box",Notype)</f>
        <v>Not current</v>
      </c>
      <c r="L202" s="101"/>
      <c r="M202" s="102" t="str">
        <f>IF($B202=1,S2_type&amp;" "&amp;LOWER(S2_box)&amp;" box",Notype)</f>
        <v>Not current</v>
      </c>
      <c r="N202" s="101"/>
      <c r="O202" s="101"/>
    </row>
    <row r="203" spans="1:18" ht="12.75" customHeight="1">
      <c r="D203" s="112"/>
      <c r="F203" s="112"/>
      <c r="G203" s="112"/>
      <c r="H203" s="112"/>
      <c r="I203" s="112"/>
      <c r="J203" s="40"/>
      <c r="K203" s="113"/>
      <c r="L203" s="40"/>
      <c r="M203" s="113"/>
      <c r="N203" s="40"/>
      <c r="O203" s="40"/>
    </row>
    <row r="204" spans="1:18" ht="12.75" customHeight="1">
      <c r="D204" s="112"/>
      <c r="F204" s="112"/>
      <c r="G204" s="112"/>
      <c r="H204" s="112"/>
      <c r="I204" s="112"/>
      <c r="J204" s="40"/>
      <c r="K204" s="113"/>
      <c r="L204" s="40"/>
      <c r="M204" s="113"/>
      <c r="N204" s="40"/>
      <c r="O204" s="40"/>
    </row>
    <row r="205" spans="1:18" ht="12.75" customHeight="1">
      <c r="D205" s="163" t="s">
        <v>212</v>
      </c>
      <c r="E205" s="164" t="s">
        <v>155</v>
      </c>
      <c r="F205" s="112"/>
      <c r="G205" s="112"/>
      <c r="H205" s="112"/>
      <c r="I205" s="112"/>
      <c r="J205" s="40"/>
      <c r="K205" s="113"/>
      <c r="L205" s="40"/>
      <c r="M205" s="113"/>
      <c r="N205" s="40"/>
      <c r="O205" s="40"/>
    </row>
    <row r="206" spans="1:18">
      <c r="E206" s="40"/>
    </row>
    <row r="207" spans="1:18">
      <c r="A207" s="36">
        <f>IF(S1_stat&gt;0,1,0)</f>
        <v>0</v>
      </c>
      <c r="B207" s="36">
        <f>IF(S2_stat&gt;0,1,0)</f>
        <v>0</v>
      </c>
      <c r="D207" s="91" t="s">
        <v>294</v>
      </c>
      <c r="E207" s="93" t="s">
        <v>360</v>
      </c>
      <c r="I207" s="36" t="str">
        <f>Currency</f>
        <v>EUR</v>
      </c>
      <c r="K207" s="106" t="str">
        <f>IF($A207=1,'Data collection'!I70,"")</f>
        <v/>
      </c>
      <c r="M207" s="106" t="str">
        <f>IF($B207=1,'Data collection'!K70,"")</f>
        <v/>
      </c>
    </row>
    <row r="208" spans="1:18">
      <c r="E208" s="40"/>
      <c r="K208" s="106"/>
      <c r="M208" s="106"/>
    </row>
    <row r="209" spans="1:14">
      <c r="A209" s="36">
        <f>IF(S1_stat&gt;0,1,0)</f>
        <v>0</v>
      </c>
      <c r="B209" s="36">
        <f>IF(S2_stat&gt;0,1,0)</f>
        <v>0</v>
      </c>
      <c r="D209" s="91" t="s">
        <v>295</v>
      </c>
      <c r="E209" s="40" t="s">
        <v>37</v>
      </c>
      <c r="I209" s="36" t="s">
        <v>38</v>
      </c>
      <c r="K209" s="106" t="str">
        <f>IF($A209=1,'Data collection'!I72,"")</f>
        <v/>
      </c>
      <c r="M209" s="106" t="str">
        <f>IF($B209=1,'Data collection'!K72,"")</f>
        <v/>
      </c>
    </row>
    <row r="210" spans="1:14">
      <c r="E210" s="40"/>
    </row>
    <row r="211" spans="1:14">
      <c r="A211" s="36">
        <f>IF(S1_stat&gt;0,1,0)</f>
        <v>0</v>
      </c>
      <c r="B211" s="36">
        <f>IF(S2_stat&gt;0,1,0)</f>
        <v>0</v>
      </c>
      <c r="E211" s="93" t="s">
        <v>361</v>
      </c>
      <c r="I211" s="36" t="str">
        <f>Currency</f>
        <v>EUR</v>
      </c>
      <c r="K211" s="106" t="str">
        <f>IF($A211=1,'Data collection'!I75,"")</f>
        <v/>
      </c>
      <c r="M211" s="106" t="str">
        <f>IF($B211=1,'Data collection'!K75,"")</f>
        <v/>
      </c>
    </row>
    <row r="212" spans="1:14">
      <c r="A212" s="36">
        <f>IF(S1_stat&gt;0,1,0)</f>
        <v>0</v>
      </c>
      <c r="B212" s="36">
        <f>IF(S2_stat&gt;0,1,0)</f>
        <v>0</v>
      </c>
      <c r="D212" s="91" t="s">
        <v>296</v>
      </c>
      <c r="E212" s="40" t="s">
        <v>97</v>
      </c>
      <c r="I212" s="36" t="str">
        <f>Currency</f>
        <v>EUR</v>
      </c>
      <c r="K212" s="106" t="str">
        <f>IF($A212=1,'Data collection'!I76,"")</f>
        <v/>
      </c>
      <c r="M212" s="106" t="str">
        <f>IF($B212=1,'Data collection'!K76,"")</f>
        <v/>
      </c>
    </row>
    <row r="213" spans="1:14">
      <c r="A213" s="36">
        <f>IF(S1_stat&gt;0,1,0)</f>
        <v>0</v>
      </c>
      <c r="B213" s="36">
        <f>IF(S2_stat&gt;0,1,0)</f>
        <v>0</v>
      </c>
      <c r="D213" s="91" t="s">
        <v>297</v>
      </c>
      <c r="E213" s="40" t="s">
        <v>150</v>
      </c>
      <c r="I213" s="36" t="str">
        <f>Currency</f>
        <v>EUR</v>
      </c>
      <c r="K213" s="106" t="str">
        <f>IF($A213=1,'Data collection'!I77,"")</f>
        <v/>
      </c>
      <c r="M213" s="106" t="str">
        <f>IF($B213=1,'Data collection'!K77,"")</f>
        <v/>
      </c>
    </row>
    <row r="214" spans="1:14">
      <c r="A214" s="36">
        <f>IF(AND(S1_stat&gt;0,NOT('Data collection'!I78="")),1,0)</f>
        <v>0</v>
      </c>
      <c r="B214" s="36">
        <f>IF(AND(S2_stat&gt;0,NOT('Data collection'!K78="")),1,0)</f>
        <v>0</v>
      </c>
      <c r="D214" s="91" t="s">
        <v>298</v>
      </c>
      <c r="E214" s="36" t="str">
        <f>IF(A214+B214&gt;0,IF('Data collection'!F78="",Blank,'Data collection'!F78),Notype)</f>
        <v>Not current</v>
      </c>
      <c r="I214" s="36" t="str">
        <f>IF(A214+B214&gt;0,Currency,Blank)</f>
        <v/>
      </c>
      <c r="K214" s="105" t="str">
        <f>IF($A214=1,'Data collection'!I78,"")</f>
        <v/>
      </c>
      <c r="L214" s="105"/>
      <c r="M214" s="105" t="str">
        <f>IF($B214=1,'Data collection'!K78,"")</f>
        <v/>
      </c>
      <c r="N214" s="105"/>
    </row>
    <row r="215" spans="1:14">
      <c r="A215" s="36">
        <f>IF(AND(S1_stat&gt;0,NOT('Data collection'!I79="")),1,0)</f>
        <v>0</v>
      </c>
      <c r="B215" s="36">
        <f>IF(AND(S2_stat&gt;0,NOT('Data collection'!K79="")),1,0)</f>
        <v>0</v>
      </c>
      <c r="D215" s="91" t="s">
        <v>299</v>
      </c>
      <c r="E215" s="36" t="str">
        <f>IF(A215+B215&gt;0,IF('Data collection'!F79="",Blank,'Data collection'!F79),Notype)</f>
        <v>Not current</v>
      </c>
      <c r="I215" s="36" t="str">
        <f>IF(A215+B215&gt;0,Currency,Blank)</f>
        <v/>
      </c>
      <c r="K215" s="105" t="str">
        <f>IF($A215=1,'Data collection'!I79,"")</f>
        <v/>
      </c>
      <c r="L215" s="105"/>
      <c r="M215" s="105" t="str">
        <f>IF($B215=1,'Data collection'!K79,"")</f>
        <v/>
      </c>
      <c r="N215" s="105"/>
    </row>
    <row r="216" spans="1:14">
      <c r="A216" s="36">
        <f>IF(S1_stat&gt;0,1,0)</f>
        <v>0</v>
      </c>
      <c r="B216" s="36">
        <f>IF(S2_stat&gt;0,1,0)</f>
        <v>0</v>
      </c>
      <c r="E216" s="40" t="s">
        <v>40</v>
      </c>
      <c r="I216" s="36" t="str">
        <f>Currency</f>
        <v>EUR</v>
      </c>
      <c r="K216" s="107" t="str">
        <f>IF($A216=1,SUM(K211:K215),"")</f>
        <v/>
      </c>
      <c r="M216" s="107" t="str">
        <f>IF($B216=1,SUM(M211:M215),"")</f>
        <v/>
      </c>
    </row>
    <row r="217" spans="1:14">
      <c r="E217" s="40"/>
      <c r="K217" s="110"/>
      <c r="M217" s="110"/>
    </row>
    <row r="218" spans="1:14">
      <c r="E218" s="40"/>
      <c r="K218" s="110"/>
      <c r="M218" s="110"/>
    </row>
    <row r="219" spans="1:14">
      <c r="D219" s="163" t="s">
        <v>213</v>
      </c>
      <c r="E219" s="52" t="s">
        <v>154</v>
      </c>
      <c r="K219" s="110"/>
      <c r="M219" s="110"/>
    </row>
    <row r="220" spans="1:14">
      <c r="E220" s="40"/>
      <c r="K220" s="110"/>
      <c r="M220" s="110"/>
    </row>
    <row r="221" spans="1:14">
      <c r="A221" s="36">
        <f>IF(S1_stat&gt;0,1,0)</f>
        <v>0</v>
      </c>
      <c r="B221" s="36">
        <f>IF(S2_stat&gt;0,1,0)</f>
        <v>0</v>
      </c>
      <c r="D221" s="91" t="s">
        <v>300</v>
      </c>
      <c r="E221" s="40" t="s">
        <v>99</v>
      </c>
      <c r="I221" s="36" t="str">
        <f>Currency</f>
        <v>EUR</v>
      </c>
      <c r="K221" s="106" t="str">
        <f>IF($A221=1,Item_cost,Blank)</f>
        <v/>
      </c>
      <c r="M221" s="106" t="str">
        <f>IF($B221=1,Item_cost,Blank)</f>
        <v/>
      </c>
    </row>
    <row r="222" spans="1:14">
      <c r="E222" s="40"/>
      <c r="K222" s="110"/>
      <c r="M222" s="110"/>
    </row>
    <row r="223" spans="1:14">
      <c r="A223" s="36">
        <f>IF(S1_stat&gt;0,1,0)</f>
        <v>0</v>
      </c>
      <c r="B223" s="36">
        <f>IF(S2_stat&gt;0,1,0)</f>
        <v>0</v>
      </c>
      <c r="D223" s="91" t="s">
        <v>301</v>
      </c>
      <c r="E223" s="40" t="s">
        <v>101</v>
      </c>
      <c r="I223" s="108" t="s">
        <v>33</v>
      </c>
      <c r="K223" s="114" t="str">
        <f>IF($A223=1,S1_damage,Blank)</f>
        <v/>
      </c>
      <c r="M223" s="114" t="str">
        <f>IF($B223=1,S2_damage,Blank)</f>
        <v/>
      </c>
    </row>
    <row r="224" spans="1:14">
      <c r="K224" s="105"/>
      <c r="L224" s="105"/>
      <c r="M224" s="105"/>
      <c r="N224" s="105"/>
    </row>
    <row r="225" spans="1:18" ht="15.75" customHeight="1">
      <c r="D225" s="90" t="s">
        <v>64</v>
      </c>
      <c r="F225" s="87"/>
      <c r="G225" s="87"/>
      <c r="H225" s="87"/>
      <c r="I225" s="87"/>
      <c r="J225" s="87"/>
      <c r="K225" s="87"/>
      <c r="L225" s="87"/>
      <c r="M225" s="87"/>
      <c r="N225" s="87"/>
      <c r="P225" s="87"/>
      <c r="Q225" s="87"/>
      <c r="R225" s="87"/>
    </row>
    <row r="226" spans="1:18" ht="15.75" customHeight="1">
      <c r="D226" s="91" t="str">
        <f>IF(Cust_name="",Blank,Cust_name)</f>
        <v/>
      </c>
      <c r="F226" s="92"/>
      <c r="G226" s="92"/>
      <c r="H226" s="92"/>
      <c r="I226" s="92"/>
      <c r="J226" s="92"/>
      <c r="K226" s="92"/>
      <c r="L226" s="92"/>
      <c r="M226" s="40"/>
      <c r="N226" s="40"/>
      <c r="O226" s="38" t="s">
        <v>237</v>
      </c>
      <c r="P226" s="87"/>
      <c r="Q226" s="87"/>
      <c r="R226" s="87"/>
    </row>
    <row r="227" spans="1:18" ht="15.75" customHeight="1">
      <c r="C227" s="40"/>
      <c r="D227" s="93" t="str">
        <f>IF(Study_ver="",Blank,"Version: "&amp;Study_ver&amp;", ")&amp;IF(Study_date="",Blank,TEXT(Study_date,"d. mmmm åååå"))</f>
        <v/>
      </c>
      <c r="F227" s="92"/>
      <c r="G227" s="92"/>
      <c r="H227" s="92"/>
      <c r="I227" s="92"/>
      <c r="J227" s="92"/>
      <c r="K227" s="92"/>
      <c r="L227" s="92"/>
      <c r="M227" s="94"/>
      <c r="N227" s="94"/>
      <c r="O227" s="94"/>
      <c r="P227" s="95"/>
      <c r="Q227" s="95"/>
      <c r="R227" s="87"/>
    </row>
    <row r="228" spans="1:18">
      <c r="D228" s="36"/>
      <c r="F228" s="40"/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1:18">
      <c r="D229" s="36"/>
    </row>
    <row r="230" spans="1:18" ht="12.75" customHeight="1">
      <c r="D230" s="212" t="s">
        <v>110</v>
      </c>
      <c r="E230" s="212"/>
      <c r="F230" s="212"/>
      <c r="G230" s="212"/>
      <c r="H230" s="157"/>
      <c r="I230" s="157"/>
      <c r="J230" s="99"/>
      <c r="K230" s="100" t="s">
        <v>130</v>
      </c>
      <c r="L230" s="99"/>
      <c r="M230" s="100" t="s">
        <v>131</v>
      </c>
      <c r="N230" s="99"/>
      <c r="O230" s="99"/>
    </row>
    <row r="231" spans="1:18" ht="39.950000000000003" customHeight="1">
      <c r="A231" s="36">
        <f>IF(S1_stat&gt;0,1,0)</f>
        <v>0</v>
      </c>
      <c r="B231" s="36">
        <f>IF(S2_stat&gt;0,1,0)</f>
        <v>0</v>
      </c>
      <c r="D231" s="213"/>
      <c r="E231" s="213"/>
      <c r="F231" s="213"/>
      <c r="G231" s="213"/>
      <c r="H231" s="158"/>
      <c r="I231" s="158"/>
      <c r="J231" s="101"/>
      <c r="K231" s="102" t="str">
        <f>IF($A231=1,S1_type&amp;" "&amp;LOWER(S1_box)&amp;" box",Notype)</f>
        <v>Not current</v>
      </c>
      <c r="L231" s="101"/>
      <c r="M231" s="102" t="str">
        <f>IF($B231=1,S2_type&amp;" "&amp;LOWER(S2_box)&amp;" box",Notype)</f>
        <v>Not current</v>
      </c>
      <c r="N231" s="101"/>
      <c r="O231" s="101"/>
    </row>
    <row r="232" spans="1:18">
      <c r="D232" s="36"/>
    </row>
    <row r="233" spans="1:18">
      <c r="E233" s="40"/>
      <c r="F233" s="40"/>
      <c r="G233" s="40"/>
      <c r="H233" s="40"/>
      <c r="I233" s="40"/>
      <c r="J233" s="40"/>
      <c r="K233" s="113"/>
      <c r="L233" s="40"/>
      <c r="M233" s="113"/>
      <c r="N233" s="40"/>
      <c r="O233" s="40"/>
    </row>
    <row r="234" spans="1:18">
      <c r="A234" s="36">
        <f>IF(S1_stat&gt;0,1,0)</f>
        <v>0</v>
      </c>
      <c r="B234" s="36">
        <f>IF(S2_stat&gt;0,1,0)</f>
        <v>0</v>
      </c>
      <c r="D234" s="91" t="s">
        <v>303</v>
      </c>
      <c r="E234" s="36" t="s">
        <v>111</v>
      </c>
      <c r="K234" s="105" t="str">
        <f>IF($A234=1,S1_trans_send,"")</f>
        <v/>
      </c>
      <c r="L234" s="105"/>
      <c r="M234" s="105" t="str">
        <f>IF($B234=1,S2_trans_send,"")</f>
        <v/>
      </c>
      <c r="N234" s="105"/>
    </row>
    <row r="236" spans="1:18" ht="12.75" customHeight="1">
      <c r="A236" s="36">
        <f>IF(S1_stat&gt;0,1,0)</f>
        <v>0</v>
      </c>
      <c r="B236" s="36">
        <f>IF(S2_stat&gt;0,1,0)</f>
        <v>0</v>
      </c>
      <c r="D236" s="91" t="s">
        <v>304</v>
      </c>
      <c r="E236" s="36" t="s">
        <v>41</v>
      </c>
      <c r="K236" s="208" t="str">
        <f>IF($A236=1,S1_type_send,"")</f>
        <v/>
      </c>
      <c r="L236" s="105"/>
      <c r="M236" s="208" t="str">
        <f>IF($B236=1,S2_type_send,"")</f>
        <v/>
      </c>
      <c r="N236" s="105"/>
    </row>
    <row r="237" spans="1:18">
      <c r="K237" s="208"/>
      <c r="L237" s="105"/>
      <c r="M237" s="208"/>
      <c r="N237" s="105"/>
    </row>
    <row r="238" spans="1:18">
      <c r="K238" s="208"/>
      <c r="L238" s="105"/>
      <c r="M238" s="208"/>
      <c r="N238" s="105"/>
    </row>
    <row r="239" spans="1:18">
      <c r="K239" s="115"/>
      <c r="L239" s="105"/>
      <c r="M239" s="115"/>
      <c r="N239" s="105"/>
    </row>
    <row r="240" spans="1:18">
      <c r="A240" s="36">
        <f>IF(S1_stat&gt;0,1,0)</f>
        <v>0</v>
      </c>
      <c r="B240" s="36">
        <f>IF(S2_stat&gt;0,1,0)</f>
        <v>0</v>
      </c>
      <c r="D240" s="91" t="s">
        <v>305</v>
      </c>
      <c r="E240" s="36" t="s">
        <v>172</v>
      </c>
      <c r="K240" s="208" t="str">
        <f>IF($A240=1,IF(S1_send_hand=1,"Rear",IF(S1_send_hand=2,"Rear and side","")),"")</f>
        <v/>
      </c>
      <c r="L240" s="105"/>
      <c r="M240" s="208" t="str">
        <f>IF($B240=1,IF(S2_send_hand=1,"Rear",IF(S2_send_hand=2,"Rear and side","")),"")</f>
        <v/>
      </c>
      <c r="N240" s="105"/>
    </row>
    <row r="241" spans="1:14">
      <c r="K241" s="208"/>
      <c r="L241" s="105"/>
      <c r="M241" s="208"/>
      <c r="N241" s="105"/>
    </row>
    <row r="243" spans="1:14">
      <c r="E243" s="103" t="s">
        <v>232</v>
      </c>
    </row>
    <row r="244" spans="1:14">
      <c r="A244" s="36">
        <f>IF(S1_stat&gt;0,1,0)</f>
        <v>0</v>
      </c>
      <c r="B244" s="36">
        <f>IF(S2_stat&gt;0,1,0)</f>
        <v>0</v>
      </c>
      <c r="D244" s="91" t="s">
        <v>306</v>
      </c>
      <c r="E244" s="36" t="s">
        <v>133</v>
      </c>
      <c r="I244" s="40" t="str">
        <f>IF(Measure="MS","mm","inch")</f>
        <v>mm</v>
      </c>
      <c r="K244" s="105" t="str">
        <f>IF($A244=1,S1_send_l,"")</f>
        <v/>
      </c>
      <c r="L244" s="105"/>
      <c r="M244" s="105" t="str">
        <f>IF($B244=1,S2_send_l,"")</f>
        <v/>
      </c>
      <c r="N244" s="105"/>
    </row>
    <row r="245" spans="1:14">
      <c r="A245" s="36">
        <f>IF(S1_stat&gt;0,1,0)</f>
        <v>0</v>
      </c>
      <c r="B245" s="36">
        <f>IF(S2_stat&gt;0,1,0)</f>
        <v>0</v>
      </c>
      <c r="D245" s="91" t="s">
        <v>307</v>
      </c>
      <c r="E245" s="36" t="s">
        <v>134</v>
      </c>
      <c r="I245" s="40" t="str">
        <f>IF(Measure="MS","mm","inch")</f>
        <v>mm</v>
      </c>
      <c r="K245" s="105" t="str">
        <f>IF($A245=1,S1_send_w,"")</f>
        <v/>
      </c>
      <c r="L245" s="105"/>
      <c r="M245" s="105" t="str">
        <f>IF($B245=1,S2_send_w,"")</f>
        <v/>
      </c>
      <c r="N245" s="105"/>
    </row>
    <row r="246" spans="1:14">
      <c r="A246" s="36">
        <f>IF(S1_stat&gt;0,1,0)</f>
        <v>0</v>
      </c>
      <c r="B246" s="36">
        <f>IF(S2_stat&gt;0,1,0)</f>
        <v>0</v>
      </c>
      <c r="D246" s="91" t="s">
        <v>308</v>
      </c>
      <c r="E246" s="36" t="s">
        <v>135</v>
      </c>
      <c r="I246" s="40" t="str">
        <f>IF(Measure="MS","mm","inch")</f>
        <v>mm</v>
      </c>
      <c r="K246" s="105" t="str">
        <f>IF($A246=1,S1_send_h,"")</f>
        <v/>
      </c>
      <c r="L246" s="105"/>
      <c r="M246" s="105" t="str">
        <f>IF($B246=1,S2_send_h,"")</f>
        <v/>
      </c>
      <c r="N246" s="105"/>
    </row>
    <row r="247" spans="1:14">
      <c r="A247" s="36">
        <f>IF(S1_stat&gt;0,1,0)</f>
        <v>0</v>
      </c>
      <c r="B247" s="36">
        <f>IF(S2_stat&gt;0,1,0)</f>
        <v>0</v>
      </c>
      <c r="E247" s="36" t="s">
        <v>136</v>
      </c>
      <c r="I247" s="40" t="str">
        <f>IF(Measure="MS","m3","cu.foot")</f>
        <v>m3</v>
      </c>
      <c r="K247" s="104" t="str">
        <f>IF($A247=1,S1_send_vol,"")</f>
        <v/>
      </c>
      <c r="L247" s="104"/>
      <c r="M247" s="104" t="str">
        <f>IF($B247=1,S2_send_vol,"")</f>
        <v/>
      </c>
      <c r="N247" s="104"/>
    </row>
    <row r="249" spans="1:14">
      <c r="A249" s="36">
        <f>IF(S1_stat&gt;0,1,0)</f>
        <v>0</v>
      </c>
      <c r="B249" s="36">
        <f>IF(S2_stat&gt;0,1,0)</f>
        <v>0</v>
      </c>
      <c r="D249" s="91" t="s">
        <v>309</v>
      </c>
      <c r="E249" s="36" t="s">
        <v>112</v>
      </c>
      <c r="K249" s="105" t="str">
        <f>IF($A249=1,S1_box_trans_send,Blank)</f>
        <v/>
      </c>
      <c r="L249" s="105"/>
      <c r="M249" s="105" t="str">
        <f>IF($B249=1,S2_box_trans_send,Blank)</f>
        <v/>
      </c>
      <c r="N249" s="105"/>
    </row>
    <row r="250" spans="1:14">
      <c r="K250" s="105"/>
      <c r="L250" s="105"/>
      <c r="M250" s="105"/>
      <c r="N250" s="105"/>
    </row>
    <row r="251" spans="1:14">
      <c r="A251" s="36">
        <f>IF(S1_stat&gt;0,1,0)</f>
        <v>0</v>
      </c>
      <c r="B251" s="36">
        <f>IF(S2_stat&gt;0,1,0)</f>
        <v>0</v>
      </c>
      <c r="E251" s="36" t="s">
        <v>160</v>
      </c>
      <c r="I251" s="40" t="str">
        <f>IF(Measure="MS","m3","cu.foot")</f>
        <v>m3</v>
      </c>
      <c r="K251" s="104" t="str">
        <f>IF($A251=1,N(K170)*N(K249),Blank)</f>
        <v/>
      </c>
      <c r="L251" s="104"/>
      <c r="M251" s="104" t="str">
        <f>IF($B251=1,N(M170)*N(M249),Blank)</f>
        <v/>
      </c>
      <c r="N251" s="104"/>
    </row>
    <row r="252" spans="1:14">
      <c r="K252" s="105"/>
      <c r="L252" s="105"/>
      <c r="M252" s="105"/>
      <c r="N252" s="105"/>
    </row>
    <row r="253" spans="1:14">
      <c r="A253" s="36">
        <f>IF(S1_stat&gt;0,1,0)</f>
        <v>0</v>
      </c>
      <c r="B253" s="36">
        <f>IF(S2_stat&gt;0,1,0)</f>
        <v>0</v>
      </c>
      <c r="E253" s="36" t="s">
        <v>137</v>
      </c>
      <c r="I253" s="40" t="str">
        <f>IF(Measure="MS","m3","cu.foot")</f>
        <v>m3</v>
      </c>
      <c r="K253" s="104" t="str">
        <f>IF($A253=1,N(K247)-N(K251),"")</f>
        <v/>
      </c>
      <c r="L253" s="104"/>
      <c r="M253" s="104" t="str">
        <f>IF($B253=1,N(M247)-N(M251),"")</f>
        <v/>
      </c>
      <c r="N253" s="104"/>
    </row>
    <row r="254" spans="1:14">
      <c r="A254" s="36">
        <f>IF(S1_stat&gt;0,1,0)</f>
        <v>0</v>
      </c>
      <c r="B254" s="36">
        <f>IF(S2_stat&gt;0,1,0)</f>
        <v>0</v>
      </c>
      <c r="E254" s="36" t="s">
        <v>137</v>
      </c>
      <c r="I254" s="108" t="s">
        <v>33</v>
      </c>
      <c r="J254" s="108"/>
      <c r="K254" s="98" t="str">
        <f>IF(AND($A254=1,NOT(N(K247)=0)),K253/K247,"")</f>
        <v/>
      </c>
      <c r="L254" s="98"/>
      <c r="M254" s="98" t="str">
        <f>IF(AND($B254=1,NOT(N(M247)=0)),M253/M247,"")</f>
        <v/>
      </c>
      <c r="N254" s="98"/>
    </row>
    <row r="255" spans="1:14">
      <c r="K255" s="105"/>
      <c r="L255" s="105"/>
      <c r="M255" s="105"/>
      <c r="N255" s="105"/>
    </row>
    <row r="256" spans="1:14">
      <c r="A256" s="36">
        <f>IF(S1_stat&gt;0,1,0)</f>
        <v>0</v>
      </c>
      <c r="B256" s="36">
        <f>IF(S2_stat&gt;0,1,0)</f>
        <v>0</v>
      </c>
      <c r="E256" s="198" t="s">
        <v>374</v>
      </c>
      <c r="I256" s="53" t="str">
        <f>IF(Measure="MS","kg","pound")</f>
        <v>kg</v>
      </c>
      <c r="K256" s="105" t="str">
        <f>IF($A256=1,S1_send_weight,Blank)</f>
        <v/>
      </c>
      <c r="L256" s="105"/>
      <c r="M256" s="105" t="str">
        <f>IF($B256=1,S2_send_weight,Blank)</f>
        <v/>
      </c>
      <c r="N256" s="105"/>
    </row>
    <row r="257" spans="1:18">
      <c r="K257" s="108"/>
      <c r="L257" s="108"/>
    </row>
    <row r="258" spans="1:18">
      <c r="A258" s="36">
        <f>IF(S1_stat&gt;0,1,0)</f>
        <v>0</v>
      </c>
      <c r="B258" s="36">
        <f>IF(S2_stat&gt;0,1,0)</f>
        <v>0</v>
      </c>
      <c r="D258" s="91" t="s">
        <v>310</v>
      </c>
      <c r="E258" s="36" t="s">
        <v>113</v>
      </c>
      <c r="I258" s="36" t="str">
        <f>Currency</f>
        <v>EUR</v>
      </c>
      <c r="K258" s="106" t="str">
        <f>IF($A258=1,'Data collection'!I134,"")</f>
        <v/>
      </c>
      <c r="L258" s="105"/>
      <c r="M258" s="106" t="str">
        <f>IF($B258=1,'Data collection'!K134,"")</f>
        <v/>
      </c>
      <c r="N258" s="105"/>
    </row>
    <row r="259" spans="1:18">
      <c r="A259" s="36">
        <f>IF(S1_stat&gt;0,1,0)</f>
        <v>0</v>
      </c>
      <c r="B259" s="36">
        <f>IF(S2_stat&gt;0,1,0)</f>
        <v>0</v>
      </c>
      <c r="D259" s="91" t="s">
        <v>311</v>
      </c>
      <c r="E259" s="40" t="s">
        <v>148</v>
      </c>
      <c r="I259" s="36" t="str">
        <f>Currency</f>
        <v>EUR</v>
      </c>
      <c r="K259" s="106" t="str">
        <f>IF($A259=1,'Data collection'!I135,"")</f>
        <v/>
      </c>
      <c r="L259" s="105"/>
      <c r="M259" s="106" t="str">
        <f>IF($B259=1,'Data collection'!K135,"")</f>
        <v/>
      </c>
      <c r="N259" s="105"/>
    </row>
    <row r="260" spans="1:18">
      <c r="A260" s="36">
        <f>IF(AND(S1_stat&gt;0,NOT('Data collection'!I136="")),1,0)</f>
        <v>0</v>
      </c>
      <c r="B260" s="36">
        <f>IF(AND(S2_stat&gt;0,NOT('Data collection'!K136="")),1,0)</f>
        <v>0</v>
      </c>
      <c r="D260" s="160" t="s">
        <v>216</v>
      </c>
      <c r="E260" s="36" t="str">
        <f>IF(A260+B260&gt;0,IF('Data collection'!F136="",Blank,'Data collection'!F136),Notype)</f>
        <v>Not current</v>
      </c>
      <c r="I260" s="36" t="str">
        <f>IF(A260+B260&gt;0,Currency,Blank)</f>
        <v/>
      </c>
      <c r="K260" s="106" t="str">
        <f>IF($A260=1,'Data collection'!I136,"")</f>
        <v/>
      </c>
      <c r="L260" s="105"/>
      <c r="M260" s="106" t="str">
        <f>IF($B260=1,'Data collection'!K136,"")</f>
        <v/>
      </c>
      <c r="N260" s="105"/>
    </row>
    <row r="261" spans="1:18">
      <c r="A261" s="36">
        <f>IF(AND(S1_stat&gt;0,NOT('Data collection'!I137="")),1,0)</f>
        <v>0</v>
      </c>
      <c r="B261" s="36">
        <f>IF(AND(S2_stat&gt;0,NOT('Data collection'!K137="")),1,0)</f>
        <v>0</v>
      </c>
      <c r="D261" s="91" t="s">
        <v>312</v>
      </c>
      <c r="E261" s="36" t="str">
        <f>IF(A261+B261&gt;0,IF('Data collection'!F137="",Blank,'Data collection'!F137),Notype)</f>
        <v>Not current</v>
      </c>
      <c r="I261" s="36" t="str">
        <f>IF(A261+B261&gt;0,Currency,Blank)</f>
        <v/>
      </c>
      <c r="K261" s="106" t="str">
        <f>IF($A261=1,'Data collection'!I137,"")</f>
        <v/>
      </c>
      <c r="L261" s="105"/>
      <c r="M261" s="106" t="str">
        <f>IF($B261=1,'Data collection'!K137,"")</f>
        <v/>
      </c>
      <c r="N261" s="105"/>
    </row>
    <row r="262" spans="1:18">
      <c r="A262" s="36">
        <f>IF(S1_stat&gt;0,1,0)</f>
        <v>0</v>
      </c>
      <c r="B262" s="36">
        <f>IF(S2_stat&gt;0,1,0)</f>
        <v>0</v>
      </c>
      <c r="E262" s="36" t="s">
        <v>115</v>
      </c>
      <c r="I262" s="36" t="str">
        <f>Currency</f>
        <v>EUR</v>
      </c>
      <c r="K262" s="107" t="str">
        <f>IF($A262=1,SUM(K258:K261),"")</f>
        <v/>
      </c>
      <c r="L262" s="108"/>
      <c r="M262" s="107" t="str">
        <f>IF($B262=1,SUM(M258:M261),"")</f>
        <v/>
      </c>
      <c r="N262" s="109"/>
    </row>
    <row r="263" spans="1:18">
      <c r="K263" s="110"/>
      <c r="L263" s="108"/>
      <c r="M263" s="110"/>
      <c r="N263" s="109"/>
    </row>
    <row r="264" spans="1:18">
      <c r="K264" s="110"/>
      <c r="L264" s="108"/>
      <c r="M264" s="110"/>
      <c r="N264" s="109"/>
    </row>
    <row r="265" spans="1:18">
      <c r="K265" s="108"/>
      <c r="L265" s="108"/>
    </row>
    <row r="266" spans="1:18" ht="15.75" customHeight="1">
      <c r="D266" s="90" t="s">
        <v>64</v>
      </c>
      <c r="F266" s="87"/>
      <c r="G266" s="87"/>
      <c r="H266" s="87"/>
      <c r="I266" s="87"/>
      <c r="J266" s="87"/>
      <c r="K266" s="87"/>
      <c r="L266" s="87"/>
      <c r="M266" s="87"/>
      <c r="N266" s="87"/>
      <c r="P266" s="87"/>
      <c r="Q266" s="87"/>
      <c r="R266" s="87"/>
    </row>
    <row r="267" spans="1:18" ht="15.75" customHeight="1">
      <c r="D267" s="91" t="str">
        <f>IF(Cust_name="",Blank,Cust_name)</f>
        <v/>
      </c>
      <c r="F267" s="92"/>
      <c r="G267" s="92"/>
      <c r="H267" s="92"/>
      <c r="I267" s="92"/>
      <c r="J267" s="92"/>
      <c r="K267" s="92"/>
      <c r="L267" s="92"/>
      <c r="M267" s="40"/>
      <c r="N267" s="40"/>
      <c r="O267" s="38" t="s">
        <v>238</v>
      </c>
      <c r="P267" s="87"/>
      <c r="Q267" s="87"/>
      <c r="R267" s="87"/>
    </row>
    <row r="268" spans="1:18" ht="15.75" customHeight="1">
      <c r="C268" s="40"/>
      <c r="D268" s="93" t="str">
        <f>IF(Study_ver="",Blank,"Version: "&amp;Study_ver&amp;", ")&amp;IF(Study_date="",Blank,TEXT(Study_date,"d. mmmm åååå"))</f>
        <v/>
      </c>
      <c r="F268" s="92"/>
      <c r="G268" s="92"/>
      <c r="H268" s="92"/>
      <c r="I268" s="92"/>
      <c r="J268" s="92"/>
      <c r="K268" s="92"/>
      <c r="L268" s="92"/>
      <c r="M268" s="94"/>
      <c r="N268" s="94"/>
      <c r="O268" s="94"/>
      <c r="P268" s="95"/>
      <c r="Q268" s="95"/>
      <c r="R268" s="87"/>
    </row>
    <row r="269" spans="1:18" ht="12.75" customHeight="1">
      <c r="C269" s="40"/>
      <c r="D269" s="93"/>
      <c r="F269" s="92"/>
      <c r="G269" s="92"/>
      <c r="H269" s="92"/>
      <c r="I269" s="92"/>
      <c r="J269" s="92"/>
      <c r="K269" s="92"/>
      <c r="L269" s="92"/>
      <c r="M269" s="111"/>
      <c r="N269" s="111"/>
      <c r="O269" s="111"/>
      <c r="P269" s="95"/>
      <c r="Q269" s="95"/>
      <c r="R269" s="87"/>
    </row>
    <row r="270" spans="1:18">
      <c r="D270" s="36"/>
      <c r="K270" s="108"/>
      <c r="L270" s="108"/>
    </row>
    <row r="271" spans="1:18" ht="12.75" customHeight="1">
      <c r="D271" s="209" t="s">
        <v>329</v>
      </c>
      <c r="E271" s="209"/>
      <c r="F271" s="209"/>
      <c r="G271" s="209"/>
      <c r="H271" s="209"/>
      <c r="I271" s="209"/>
      <c r="J271" s="209"/>
      <c r="K271" s="100" t="s">
        <v>130</v>
      </c>
      <c r="L271" s="99"/>
      <c r="M271" s="100" t="s">
        <v>131</v>
      </c>
      <c r="N271" s="99"/>
      <c r="O271" s="99"/>
    </row>
    <row r="272" spans="1:18" ht="39.950000000000003" customHeight="1">
      <c r="A272" s="36">
        <f>IF(AND(S1_stat&gt;0,OR(S1_stat=1,S2_stat=1)),1,0)</f>
        <v>0</v>
      </c>
      <c r="B272" s="36">
        <f>IF(AND(S2_stat&gt;0,OR(S1_stat=1,S2_stat=1)),1,0)</f>
        <v>0</v>
      </c>
      <c r="D272" s="210"/>
      <c r="E272" s="210"/>
      <c r="F272" s="210"/>
      <c r="G272" s="210"/>
      <c r="H272" s="210"/>
      <c r="I272" s="210"/>
      <c r="J272" s="210"/>
      <c r="K272" s="102" t="str">
        <f>IF($A272=1,S1_type&amp;" "&amp;LOWER(S1_box)&amp;" box",Notype)</f>
        <v>Not current</v>
      </c>
      <c r="L272" s="101"/>
      <c r="M272" s="102" t="str">
        <f>IF($B272=1,S2_type&amp;" "&amp;LOWER(S2_box)&amp;" box",Notype)</f>
        <v>Not current</v>
      </c>
      <c r="N272" s="101"/>
      <c r="O272" s="101"/>
    </row>
    <row r="273" spans="1:15">
      <c r="D273" s="40"/>
      <c r="F273" s="40"/>
      <c r="G273" s="40"/>
      <c r="H273" s="40"/>
      <c r="I273" s="40"/>
      <c r="J273" s="40"/>
      <c r="K273" s="113"/>
      <c r="L273" s="40"/>
      <c r="M273" s="113"/>
      <c r="N273" s="40"/>
      <c r="O273" s="40"/>
    </row>
    <row r="274" spans="1:15">
      <c r="E274" s="40"/>
      <c r="F274" s="40"/>
      <c r="G274" s="40"/>
      <c r="H274" s="40"/>
      <c r="I274" s="40"/>
      <c r="J274" s="40"/>
      <c r="K274" s="113"/>
      <c r="L274" s="40"/>
      <c r="M274" s="113"/>
      <c r="N274" s="40"/>
      <c r="O274" s="40"/>
    </row>
    <row r="275" spans="1:15">
      <c r="A275" s="36">
        <f>IF(S1_stat=1,1,0)</f>
        <v>0</v>
      </c>
      <c r="B275" s="36">
        <f>IF(S2_stat=1,1,0)</f>
        <v>0</v>
      </c>
      <c r="D275" s="39" t="str">
        <f>IF(A275+B275&gt;0,"7.1",Blank)</f>
        <v/>
      </c>
      <c r="E275" s="36" t="str">
        <f>IF(A275+B275&gt;0,"Transport method",Blank)</f>
        <v/>
      </c>
      <c r="K275" s="105" t="str">
        <f>IF($A275=1,S1_trans_return,"")</f>
        <v/>
      </c>
      <c r="L275" s="105"/>
      <c r="M275" s="105" t="str">
        <f>IF($B275=1,S2_trans_return,"")</f>
        <v/>
      </c>
      <c r="N275" s="105"/>
    </row>
    <row r="277" spans="1:15" ht="12.75" customHeight="1">
      <c r="A277" s="36">
        <f>IF(S1_stat=1,1,0)</f>
        <v>0</v>
      </c>
      <c r="B277" s="36">
        <f>IF(S2_stat=1,1,0)</f>
        <v>0</v>
      </c>
      <c r="D277" s="39" t="str">
        <f>IF(A277+B277&gt;0,"7.2",Blank)</f>
        <v/>
      </c>
      <c r="E277" s="36" t="str">
        <f>IF(A277+B277&gt;0,"Transport type",Blank)</f>
        <v/>
      </c>
      <c r="K277" s="208" t="str">
        <f>IF($A277=1,S1_type_return,"")</f>
        <v/>
      </c>
      <c r="L277" s="105"/>
      <c r="M277" s="208" t="str">
        <f>IF($B277=1,S2_type_return,"")</f>
        <v/>
      </c>
      <c r="N277" s="105"/>
    </row>
    <row r="278" spans="1:15">
      <c r="K278" s="208"/>
      <c r="L278" s="105"/>
      <c r="M278" s="208"/>
      <c r="N278" s="105"/>
    </row>
    <row r="279" spans="1:15">
      <c r="K279" s="208"/>
      <c r="L279" s="105"/>
      <c r="M279" s="208"/>
      <c r="N279" s="105"/>
    </row>
    <row r="281" spans="1:15">
      <c r="A281" s="36">
        <f>IF(S1_stat=1,1,0)</f>
        <v>0</v>
      </c>
      <c r="B281" s="36">
        <f>IF(S2_stat=1,1,0)</f>
        <v>0</v>
      </c>
      <c r="D281" s="39" t="str">
        <f>IF(A281+B281&gt;0,"7.3",Blank)</f>
        <v/>
      </c>
      <c r="E281" s="36" t="str">
        <f>IF(A281+B281&gt;0,"Loading ways",Blank)</f>
        <v/>
      </c>
      <c r="K281" s="208" t="str">
        <f>IF($A281=1,IF(S1_return_hand=1,"Rear",IF(S1_return_hand=2,"Rear and side","")),"")</f>
        <v/>
      </c>
      <c r="L281" s="105"/>
      <c r="M281" s="208" t="str">
        <f>IF($B281=1,IF(S2_return_hand=1,"Rear",IF(S2_return_hand=2,"Rear and side","")),"")</f>
        <v/>
      </c>
      <c r="N281" s="105"/>
    </row>
    <row r="282" spans="1:15">
      <c r="K282" s="208"/>
      <c r="L282" s="105"/>
      <c r="M282" s="208"/>
      <c r="N282" s="105"/>
    </row>
    <row r="283" spans="1:15">
      <c r="K283" s="105"/>
      <c r="L283" s="105"/>
      <c r="M283" s="105"/>
      <c r="N283" s="105"/>
    </row>
    <row r="284" spans="1:15">
      <c r="A284" s="36">
        <f>IF(S1_stat=1,1,0)</f>
        <v>0</v>
      </c>
      <c r="B284" s="36">
        <f>IF(S2_stat=1,1,0)</f>
        <v>0</v>
      </c>
      <c r="E284" s="103" t="s">
        <v>232</v>
      </c>
    </row>
    <row r="285" spans="1:15">
      <c r="A285" s="36">
        <f>IF(S1_stat=1,1,0)</f>
        <v>0</v>
      </c>
      <c r="B285" s="36">
        <f>IF(S2_stat=1,1,0)</f>
        <v>0</v>
      </c>
      <c r="D285" s="39" t="str">
        <f>IF(A285+B285&gt;0,"7.4",Blank)</f>
        <v/>
      </c>
      <c r="E285" s="36" t="s">
        <v>133</v>
      </c>
      <c r="I285" s="40" t="str">
        <f>IF(Measure="MS","mm","inch")</f>
        <v>mm</v>
      </c>
      <c r="K285" s="105" t="str">
        <f>IF($A285=1,S1_return_l,"")</f>
        <v/>
      </c>
      <c r="L285" s="105"/>
      <c r="M285" s="105" t="str">
        <f>IF($B285=1,S2_return_l,"")</f>
        <v/>
      </c>
      <c r="N285" s="105"/>
    </row>
    <row r="286" spans="1:15">
      <c r="A286" s="36">
        <f>IF(S1_stat=1,1,0)</f>
        <v>0</v>
      </c>
      <c r="B286" s="36">
        <f>IF(S2_stat=1,1,0)</f>
        <v>0</v>
      </c>
      <c r="D286" s="39" t="str">
        <f>IF(A286+B286&gt;0,"7.5",Blank)</f>
        <v/>
      </c>
      <c r="E286" s="36" t="s">
        <v>134</v>
      </c>
      <c r="I286" s="40" t="str">
        <f>IF(Measure="MS","mm","inch")</f>
        <v>mm</v>
      </c>
      <c r="K286" s="105" t="str">
        <f>IF($A286=1,S1_return_w,"")</f>
        <v/>
      </c>
      <c r="L286" s="105"/>
      <c r="M286" s="105" t="str">
        <f>IF($B286=1,S2_return_w,"")</f>
        <v/>
      </c>
      <c r="N286" s="105"/>
    </row>
    <row r="287" spans="1:15">
      <c r="A287" s="36">
        <f>IF(S1_stat=1,1,0)</f>
        <v>0</v>
      </c>
      <c r="B287" s="36">
        <f>IF(S2_stat=1,1,0)</f>
        <v>0</v>
      </c>
      <c r="D287" s="39" t="str">
        <f>IF(A287+B287&gt;0,"7.6",Blank)</f>
        <v/>
      </c>
      <c r="E287" s="36" t="s">
        <v>135</v>
      </c>
      <c r="I287" s="40" t="str">
        <f>IF(Measure="MS","mm","inch")</f>
        <v>mm</v>
      </c>
      <c r="K287" s="105" t="str">
        <f>IF($A287=1,S1_return_h,"")</f>
        <v/>
      </c>
      <c r="L287" s="105"/>
      <c r="M287" s="105" t="str">
        <f>IF($B287=1,S2_return_h,"")</f>
        <v/>
      </c>
      <c r="N287" s="105"/>
    </row>
    <row r="288" spans="1:15">
      <c r="A288" s="36">
        <f>IF(S1_stat=1,1,0)</f>
        <v>0</v>
      </c>
      <c r="B288" s="36">
        <f>IF(S2_stat=1,1,0)</f>
        <v>0</v>
      </c>
      <c r="E288" s="36" t="s">
        <v>136</v>
      </c>
      <c r="I288" s="40" t="str">
        <f>IF(Measure="MS","m3","cu.foot")</f>
        <v>m3</v>
      </c>
      <c r="K288" s="104" t="str">
        <f>IF($A288=1,S1_return_vol,"")</f>
        <v/>
      </c>
      <c r="L288" s="104"/>
      <c r="M288" s="104" t="str">
        <f>IF($B288=1,S2_return_vol,"")</f>
        <v/>
      </c>
      <c r="N288" s="104"/>
    </row>
    <row r="290" spans="1:14">
      <c r="A290" s="36">
        <f>IF(S1_stat=1,1,0)</f>
        <v>0</v>
      </c>
      <c r="B290" s="36">
        <f>IF(S2_stat=1,1,0)</f>
        <v>0</v>
      </c>
      <c r="D290" s="39" t="str">
        <f>IF(A290+B290&gt;0,"7.7",Blank)</f>
        <v/>
      </c>
      <c r="E290" s="36" t="s">
        <v>112</v>
      </c>
      <c r="K290" s="105" t="str">
        <f>IF($A290=1,S1_box_trans_return,"")</f>
        <v/>
      </c>
      <c r="L290" s="105"/>
      <c r="M290" s="105" t="str">
        <f>IF($B290=1,S2_box_trans_return,"")</f>
        <v/>
      </c>
      <c r="N290" s="105"/>
    </row>
    <row r="291" spans="1:14">
      <c r="K291" s="105"/>
      <c r="L291" s="105"/>
      <c r="M291" s="105"/>
      <c r="N291" s="105"/>
    </row>
    <row r="292" spans="1:14">
      <c r="A292" s="36">
        <f>IF(S1_stat=1,1,0)</f>
        <v>0</v>
      </c>
      <c r="B292" s="36">
        <f>IF(S2_stat=1,1,0)</f>
        <v>0</v>
      </c>
      <c r="E292" s="36" t="s">
        <v>160</v>
      </c>
      <c r="I292" s="40" t="str">
        <f>IF(Measure="MS","m3","cu.foot")</f>
        <v>m3</v>
      </c>
      <c r="K292" s="104" t="str">
        <f>IF($A292=1,N(K178)*N(K290),"")</f>
        <v/>
      </c>
      <c r="L292" s="104"/>
      <c r="M292" s="104" t="str">
        <f>IF($B292=1,N(M178)*N(M290),"")</f>
        <v/>
      </c>
      <c r="N292" s="104"/>
    </row>
    <row r="293" spans="1:14">
      <c r="K293" s="105"/>
      <c r="L293" s="105"/>
      <c r="M293" s="105"/>
      <c r="N293" s="105"/>
    </row>
    <row r="294" spans="1:14">
      <c r="A294" s="36">
        <f>IF(S1_stat=1,1,0)</f>
        <v>0</v>
      </c>
      <c r="B294" s="36">
        <f>IF(S2_stat=1,1,0)</f>
        <v>0</v>
      </c>
      <c r="E294" s="36" t="s">
        <v>137</v>
      </c>
      <c r="I294" s="40" t="str">
        <f>IF(Measure="MS","m3","cu.foot")</f>
        <v>m3</v>
      </c>
      <c r="K294" s="104" t="str">
        <f>IF($A294=1,N(K288)-N(K292),"")</f>
        <v/>
      </c>
      <c r="L294" s="104"/>
      <c r="M294" s="104" t="str">
        <f>IF($B294=1,N(M288)-N(M292),"")</f>
        <v/>
      </c>
      <c r="N294" s="104"/>
    </row>
    <row r="295" spans="1:14">
      <c r="A295" s="36">
        <f>IF(S1_stat=1,1,0)</f>
        <v>0</v>
      </c>
      <c r="B295" s="36">
        <f>IF(S2_stat=1,1,0)</f>
        <v>0</v>
      </c>
      <c r="E295" s="36" t="s">
        <v>137</v>
      </c>
      <c r="I295" s="108" t="s">
        <v>33</v>
      </c>
      <c r="J295" s="108"/>
      <c r="K295" s="98" t="str">
        <f>IF(AND($A295=1,NOT(N(K288)=0)),K294/K288,"")</f>
        <v/>
      </c>
      <c r="L295" s="98"/>
      <c r="M295" s="98" t="str">
        <f>IF(AND($B295=1,NOT(N(M288)=0)),M294/M288,"")</f>
        <v/>
      </c>
      <c r="N295" s="98"/>
    </row>
    <row r="296" spans="1:14">
      <c r="K296" s="105"/>
      <c r="L296" s="105"/>
      <c r="M296" s="105"/>
      <c r="N296" s="105"/>
    </row>
    <row r="297" spans="1:14">
      <c r="A297" s="36">
        <f>IF(S1_stat=1,1,0)</f>
        <v>0</v>
      </c>
      <c r="B297" s="36">
        <f>IF(S2_stat=1,1,0)</f>
        <v>0</v>
      </c>
      <c r="E297" s="198" t="s">
        <v>374</v>
      </c>
      <c r="I297" s="53" t="str">
        <f>IF(Measure="MS","kg","pound")</f>
        <v>kg</v>
      </c>
      <c r="K297" s="105" t="str">
        <f>IF($A297=1,S1_return_weight,"")</f>
        <v/>
      </c>
      <c r="L297" s="105"/>
      <c r="M297" s="105" t="str">
        <f>IF($B297=1,S2_return_weight,"")</f>
        <v/>
      </c>
      <c r="N297" s="105"/>
    </row>
    <row r="298" spans="1:14">
      <c r="K298" s="108"/>
      <c r="L298" s="108"/>
      <c r="M298" s="108"/>
      <c r="N298" s="108"/>
    </row>
    <row r="299" spans="1:14">
      <c r="A299" s="36">
        <f>IF(S1_stat=1,1,0)</f>
        <v>0</v>
      </c>
      <c r="B299" s="36">
        <f>IF(S2_stat=1,1,0)</f>
        <v>0</v>
      </c>
      <c r="D299" s="39" t="str">
        <f>IF(A299+B299&gt;0,"7.8",Blank)</f>
        <v/>
      </c>
      <c r="E299" s="36" t="s">
        <v>113</v>
      </c>
      <c r="I299" s="36" t="str">
        <f>Currency</f>
        <v>EUR</v>
      </c>
      <c r="K299" s="106" t="str">
        <f>IF($A299=1,'Data collection'!I179,"")</f>
        <v/>
      </c>
      <c r="L299" s="105"/>
      <c r="M299" s="106" t="str">
        <f>IF($B299=1,'Data collection'!K179,"")</f>
        <v/>
      </c>
      <c r="N299" s="105"/>
    </row>
    <row r="300" spans="1:14">
      <c r="A300" s="36">
        <f>IF(S1_stat=1,1,0)</f>
        <v>0</v>
      </c>
      <c r="B300" s="36">
        <f>IF(S2_stat=1,1,0)</f>
        <v>0</v>
      </c>
      <c r="D300" s="39" t="str">
        <f>IF(A300+B300&gt;0,"7.9",Blank)</f>
        <v/>
      </c>
      <c r="E300" s="40" t="s">
        <v>148</v>
      </c>
      <c r="I300" s="36" t="str">
        <f>Currency</f>
        <v>EUR</v>
      </c>
      <c r="K300" s="106" t="str">
        <f>IF($A300=1,'Data collection'!I180,"")</f>
        <v/>
      </c>
      <c r="L300" s="105"/>
      <c r="M300" s="106" t="str">
        <f>IF($B300=1,'Data collection'!K180,"")</f>
        <v/>
      </c>
      <c r="N300" s="105"/>
    </row>
    <row r="301" spans="1:14">
      <c r="A301" s="36">
        <f>IF(AND(S1_stat=1,NOT('Data collection'!I181="")),1,0)</f>
        <v>0</v>
      </c>
      <c r="B301" s="36">
        <f>IF(AND(S2_stat=1,NOT('Data collection'!K181="")),1,0)</f>
        <v>0</v>
      </c>
      <c r="D301" s="39" t="str">
        <f>IF(OR(S1_stat=1,S2_stat=1),"7.10",Blank)</f>
        <v/>
      </c>
      <c r="E301" s="36" t="str">
        <f>IF(A301+B301&gt;0,'Data collection'!F181,IF(OR(S1_stat=1,S2_stat=1),Notype,Blank))</f>
        <v/>
      </c>
      <c r="I301" s="36" t="str">
        <f>IF(A301+B301&gt;0,Currency,"")</f>
        <v/>
      </c>
      <c r="K301" s="106" t="str">
        <f>IF($A301=1,'Data collection'!I181,"")</f>
        <v/>
      </c>
      <c r="L301" s="105"/>
      <c r="M301" s="106" t="str">
        <f>IF($B301=1,'Data collection'!K181,"")</f>
        <v/>
      </c>
      <c r="N301" s="105"/>
    </row>
    <row r="302" spans="1:14">
      <c r="A302" s="36">
        <f>IF(AND(S1_stat=1,NOT('Data collection'!I182="")),1,0)</f>
        <v>0</v>
      </c>
      <c r="B302" s="36">
        <f>IF(AND(S2_stat=1,NOT('Data collection'!K182="")),1,0)</f>
        <v>0</v>
      </c>
      <c r="D302" s="39" t="str">
        <f>IF(OR(S1_stat=1,S2_stat=1),"7.11",Blank)</f>
        <v/>
      </c>
      <c r="E302" s="36" t="str">
        <f>IF(A302+B302&gt;0,'Data collection'!F182,IF(OR(S1_stat=1,S2_stat=1),Notype,Blank))</f>
        <v/>
      </c>
      <c r="I302" s="36" t="str">
        <f>IF(A302+B302&gt;0,Currency,"")</f>
        <v/>
      </c>
      <c r="K302" s="106" t="str">
        <f>IF($A302=1,'Data collection'!I182,"")</f>
        <v/>
      </c>
      <c r="L302" s="105"/>
      <c r="M302" s="106" t="str">
        <f>IF($B302=1,'Data collection'!K182,"")</f>
        <v/>
      </c>
      <c r="N302" s="105"/>
    </row>
    <row r="303" spans="1:14">
      <c r="A303" s="36">
        <f>IF(S1_stat=1,1,0)</f>
        <v>0</v>
      </c>
      <c r="B303" s="36">
        <f>IF(S2_stat=1,1,0)</f>
        <v>0</v>
      </c>
      <c r="E303" s="36" t="s">
        <v>115</v>
      </c>
      <c r="I303" s="36" t="str">
        <f>Currency</f>
        <v>EUR</v>
      </c>
      <c r="K303" s="107" t="str">
        <f>IF($A303=1,SUM(K299:K302),"")</f>
        <v/>
      </c>
      <c r="L303" s="108"/>
      <c r="M303" s="107" t="str">
        <f>IF($B303=1,SUM(M299:M302),"")</f>
        <v/>
      </c>
      <c r="N303" s="109"/>
    </row>
    <row r="304" spans="1:14">
      <c r="K304" s="110"/>
      <c r="L304" s="108"/>
      <c r="M304" s="110"/>
      <c r="N304" s="109"/>
    </row>
    <row r="305" spans="1:18">
      <c r="K305" s="110"/>
      <c r="L305" s="108"/>
      <c r="M305" s="110"/>
      <c r="N305" s="109"/>
    </row>
    <row r="306" spans="1:18">
      <c r="K306" s="108"/>
      <c r="L306" s="108"/>
    </row>
    <row r="307" spans="1:18" ht="15.75" customHeight="1">
      <c r="D307" s="90" t="s">
        <v>64</v>
      </c>
      <c r="F307" s="87"/>
      <c r="G307" s="87"/>
      <c r="H307" s="87"/>
      <c r="I307" s="87"/>
      <c r="J307" s="87"/>
      <c r="K307" s="87"/>
      <c r="L307" s="87"/>
      <c r="M307" s="87"/>
      <c r="N307" s="87"/>
      <c r="P307" s="87"/>
      <c r="Q307" s="87"/>
      <c r="R307" s="87"/>
    </row>
    <row r="308" spans="1:18" ht="15.75" customHeight="1">
      <c r="D308" s="91" t="str">
        <f>IF(Cust_name="",Blank,Cust_name)</f>
        <v/>
      </c>
      <c r="F308" s="92"/>
      <c r="G308" s="92"/>
      <c r="H308" s="92"/>
      <c r="I308" s="92"/>
      <c r="J308" s="92"/>
      <c r="K308" s="92"/>
      <c r="L308" s="92"/>
      <c r="M308" s="40"/>
      <c r="N308" s="40"/>
      <c r="O308" s="38" t="s">
        <v>239</v>
      </c>
      <c r="P308" s="87"/>
      <c r="Q308" s="87"/>
      <c r="R308" s="87"/>
    </row>
    <row r="309" spans="1:18" ht="15.75" customHeight="1">
      <c r="C309" s="40"/>
      <c r="D309" s="93" t="str">
        <f>IF(Study_ver="",Blank,"Version: "&amp;Study_ver&amp;", ")&amp;IF(Study_date="",Blank,TEXT(Study_date,"d. mmmm åååå"))</f>
        <v/>
      </c>
      <c r="F309" s="92"/>
      <c r="G309" s="92"/>
      <c r="H309" s="92"/>
      <c r="I309" s="92"/>
      <c r="J309" s="92"/>
      <c r="K309" s="92"/>
      <c r="L309" s="92"/>
      <c r="M309" s="94"/>
      <c r="N309" s="94"/>
      <c r="O309" s="94"/>
      <c r="P309" s="95"/>
      <c r="Q309" s="95"/>
      <c r="R309" s="87"/>
    </row>
    <row r="310" spans="1:18">
      <c r="A310" s="35"/>
      <c r="B310" s="35"/>
      <c r="D310" s="36"/>
      <c r="K310" s="108"/>
      <c r="L310" s="108"/>
    </row>
    <row r="311" spans="1:18">
      <c r="D311" s="36"/>
      <c r="K311" s="108"/>
      <c r="L311" s="108"/>
    </row>
    <row r="312" spans="1:18" ht="12.75" customHeight="1">
      <c r="D312" s="212" t="s">
        <v>240</v>
      </c>
      <c r="E312" s="212"/>
      <c r="F312" s="212"/>
      <c r="G312" s="212"/>
      <c r="H312" s="212"/>
      <c r="I312" s="212"/>
      <c r="J312" s="99"/>
      <c r="K312" s="100" t="s">
        <v>130</v>
      </c>
      <c r="L312" s="99"/>
      <c r="M312" s="100" t="s">
        <v>131</v>
      </c>
      <c r="N312" s="99"/>
      <c r="O312" s="99"/>
    </row>
    <row r="313" spans="1:18" ht="39.950000000000003" customHeight="1">
      <c r="A313" s="36">
        <f>IF(AND(S1_stat&gt;0,OR(S1_stat=1,S2_stat=1)),1,0)</f>
        <v>0</v>
      </c>
      <c r="B313" s="36">
        <f>IF(AND(S2_stat&gt;0,OR(S1_stat=1,S2_stat=1)),1,0)</f>
        <v>0</v>
      </c>
      <c r="D313" s="213"/>
      <c r="E313" s="213"/>
      <c r="F313" s="213"/>
      <c r="G313" s="213"/>
      <c r="H313" s="213"/>
      <c r="I313" s="213"/>
      <c r="J313" s="101"/>
      <c r="K313" s="102" t="str">
        <f>IF($A313=1,S1_type&amp;" "&amp;LOWER(S1_box)&amp;" box",Notype)</f>
        <v>Not current</v>
      </c>
      <c r="L313" s="101"/>
      <c r="M313" s="102" t="str">
        <f>IF($B313=1,S2_type&amp;" "&amp;LOWER(S2_box)&amp;" box",Notype)</f>
        <v>Not current</v>
      </c>
      <c r="N313" s="101"/>
      <c r="O313" s="101"/>
    </row>
    <row r="314" spans="1:18">
      <c r="D314" s="40"/>
      <c r="F314" s="40"/>
      <c r="G314" s="40"/>
      <c r="H314" s="40"/>
      <c r="I314" s="40"/>
      <c r="J314" s="40"/>
      <c r="K314" s="113"/>
      <c r="L314" s="40"/>
      <c r="M314" s="113"/>
      <c r="N314" s="40"/>
      <c r="O314" s="40"/>
    </row>
    <row r="315" spans="1:18">
      <c r="E315" s="40"/>
      <c r="F315" s="40"/>
      <c r="G315" s="40"/>
      <c r="H315" s="40"/>
      <c r="I315" s="40"/>
      <c r="J315" s="40"/>
      <c r="K315" s="113"/>
      <c r="L315" s="40"/>
      <c r="M315" s="113"/>
      <c r="N315" s="40"/>
      <c r="O315" s="40"/>
    </row>
    <row r="316" spans="1:18">
      <c r="D316" s="163" t="s">
        <v>215</v>
      </c>
      <c r="E316" s="52" t="s">
        <v>122</v>
      </c>
    </row>
    <row r="317" spans="1:18">
      <c r="E317" s="40"/>
    </row>
    <row r="318" spans="1:18">
      <c r="A318" s="36">
        <f>IF(S1_stat=1,1,0)</f>
        <v>0</v>
      </c>
      <c r="B318" s="36">
        <f>IF(S2_stat=1,1,0)</f>
        <v>0</v>
      </c>
      <c r="D318" s="91" t="s">
        <v>302</v>
      </c>
      <c r="E318" s="40" t="s">
        <v>95</v>
      </c>
      <c r="I318" s="108" t="s">
        <v>33</v>
      </c>
      <c r="K318" s="114" t="str">
        <f>IF($A318=1,'Data collection'!I92,"")</f>
        <v/>
      </c>
      <c r="M318" s="114" t="str">
        <f>IF($B318=1,'Data collection'!K92,"")</f>
        <v/>
      </c>
    </row>
    <row r="319" spans="1:18">
      <c r="E319" s="40"/>
    </row>
    <row r="320" spans="1:18">
      <c r="A320" s="36">
        <f>IF(S1_stat=1,1,0)</f>
        <v>0</v>
      </c>
      <c r="B320" s="36">
        <f>IF(S2_stat=1,1,0)</f>
        <v>0</v>
      </c>
      <c r="E320" s="40" t="s">
        <v>123</v>
      </c>
      <c r="I320" s="36" t="str">
        <f>Currency</f>
        <v>EUR</v>
      </c>
      <c r="K320" s="106" t="str">
        <f>IF($A320=1,S1_box_cost_main,"")</f>
        <v/>
      </c>
      <c r="M320" s="106" t="str">
        <f>IF($B320=1,S2_box_cost_main,"")</f>
        <v/>
      </c>
    </row>
    <row r="321" spans="1:13">
      <c r="E321" s="40"/>
      <c r="K321" s="106"/>
      <c r="M321" s="106"/>
    </row>
    <row r="322" spans="1:13">
      <c r="E322" s="40"/>
    </row>
    <row r="323" spans="1:13">
      <c r="D323" s="163" t="s">
        <v>219</v>
      </c>
      <c r="E323" s="52" t="s">
        <v>230</v>
      </c>
    </row>
    <row r="324" spans="1:13">
      <c r="E324" s="40"/>
    </row>
    <row r="325" spans="1:13">
      <c r="A325" s="36">
        <f>IF(S1_stat=1,1,0)</f>
        <v>0</v>
      </c>
      <c r="B325" s="36">
        <f>IF(S2_stat=1,1,0)</f>
        <v>0</v>
      </c>
      <c r="D325" s="91" t="s">
        <v>323</v>
      </c>
      <c r="E325" s="40" t="s">
        <v>117</v>
      </c>
      <c r="I325" s="36" t="s">
        <v>35</v>
      </c>
      <c r="K325" s="105" t="str">
        <f>IF($A325=1,'Data collection'!I194,"")</f>
        <v/>
      </c>
      <c r="L325" s="108"/>
      <c r="M325" s="105" t="str">
        <f>IF($B325=1,'Data collection'!K194,"")</f>
        <v/>
      </c>
    </row>
    <row r="326" spans="1:13">
      <c r="E326" s="93" t="s">
        <v>375</v>
      </c>
      <c r="K326" s="108"/>
      <c r="L326" s="108"/>
      <c r="M326" s="108"/>
    </row>
    <row r="327" spans="1:13">
      <c r="E327" s="40"/>
      <c r="K327" s="108"/>
      <c r="L327" s="108"/>
      <c r="M327" s="108"/>
    </row>
    <row r="328" spans="1:13">
      <c r="A328" s="36">
        <f>IF(S1_stat=1,1,0)</f>
        <v>0</v>
      </c>
      <c r="B328" s="36">
        <f>IF(S2_stat=1,1,0)</f>
        <v>0</v>
      </c>
      <c r="D328" s="91" t="s">
        <v>324</v>
      </c>
      <c r="E328" s="40" t="s">
        <v>36</v>
      </c>
      <c r="I328" s="36" t="s">
        <v>35</v>
      </c>
      <c r="K328" s="105" t="str">
        <f>IF($A328=1,'Data collection'!I195,"")</f>
        <v/>
      </c>
      <c r="L328" s="108"/>
      <c r="M328" s="105" t="str">
        <f>IF($B328=1,'Data collection'!K195,"")</f>
        <v/>
      </c>
    </row>
    <row r="329" spans="1:13">
      <c r="E329" s="40"/>
      <c r="K329" s="108"/>
      <c r="L329" s="108"/>
      <c r="M329" s="108"/>
    </row>
    <row r="330" spans="1:13">
      <c r="A330" s="36">
        <f>IF(S1_stat=1,1,0)</f>
        <v>0</v>
      </c>
      <c r="B330" s="36">
        <f>IF(S2_stat=1,1,0)</f>
        <v>0</v>
      </c>
      <c r="D330" s="91" t="s">
        <v>325</v>
      </c>
      <c r="E330" s="40" t="s">
        <v>118</v>
      </c>
      <c r="I330" s="36" t="s">
        <v>35</v>
      </c>
      <c r="K330" s="105" t="str">
        <f>IF($A330=1,'Data collection'!I196,"")</f>
        <v/>
      </c>
      <c r="L330" s="108"/>
      <c r="M330" s="105" t="str">
        <f>IF($B330=1,'Data collection'!K196,"")</f>
        <v/>
      </c>
    </row>
    <row r="331" spans="1:13">
      <c r="E331" s="93" t="s">
        <v>375</v>
      </c>
      <c r="K331" s="108"/>
      <c r="L331" s="108"/>
      <c r="M331" s="108"/>
    </row>
    <row r="332" spans="1:13">
      <c r="E332" s="40"/>
      <c r="K332" s="108"/>
      <c r="L332" s="108"/>
      <c r="M332" s="108"/>
    </row>
    <row r="333" spans="1:13">
      <c r="A333" s="36">
        <f>IF(S1_stat=1,1,0)</f>
        <v>0</v>
      </c>
      <c r="B333" s="36">
        <f>IF(S2_stat=1,1,0)</f>
        <v>0</v>
      </c>
      <c r="D333" s="91" t="s">
        <v>326</v>
      </c>
      <c r="E333" s="40" t="s">
        <v>34</v>
      </c>
      <c r="I333" s="36" t="s">
        <v>35</v>
      </c>
      <c r="K333" s="105" t="str">
        <f>IF($A333=1,'Data collection'!I197,"")</f>
        <v/>
      </c>
      <c r="L333" s="108"/>
      <c r="M333" s="105" t="str">
        <f>IF($B333=1,'Data collection'!K197,"")</f>
        <v/>
      </c>
    </row>
    <row r="334" spans="1:13">
      <c r="E334" s="40"/>
      <c r="K334" s="108"/>
      <c r="L334" s="108"/>
      <c r="M334" s="108"/>
    </row>
    <row r="335" spans="1:13">
      <c r="A335" s="36">
        <f>IF(S1_stat=1,1,0)</f>
        <v>0</v>
      </c>
      <c r="B335" s="36">
        <f>IF(S2_stat=1,1,0)</f>
        <v>0</v>
      </c>
      <c r="E335" s="40" t="s">
        <v>100</v>
      </c>
      <c r="I335" s="36" t="s">
        <v>35</v>
      </c>
      <c r="K335" s="116" t="str">
        <f>IF($A335=1,S1_time_total,Blank)</f>
        <v/>
      </c>
      <c r="L335" s="108"/>
      <c r="M335" s="116" t="str">
        <f>IF($B335=1,S2_time_total,Blank)</f>
        <v/>
      </c>
    </row>
    <row r="336" spans="1:13">
      <c r="E336" s="40"/>
      <c r="K336" s="109"/>
      <c r="L336" s="108"/>
      <c r="M336" s="109"/>
    </row>
    <row r="337" spans="1:21">
      <c r="E337" s="40"/>
    </row>
    <row r="338" spans="1:21">
      <c r="A338" s="36">
        <f>IF(S1_stat=1,1,0)</f>
        <v>0</v>
      </c>
      <c r="B338" s="36">
        <f>IF(S2_stat=1,1,0)</f>
        <v>0</v>
      </c>
      <c r="D338" s="91" t="s">
        <v>327</v>
      </c>
      <c r="E338" s="55" t="s">
        <v>229</v>
      </c>
      <c r="I338" s="36" t="s">
        <v>220</v>
      </c>
      <c r="K338" s="105" t="str">
        <f>IF(A338=1,IF(S1_batch_size&gt;0,S1_batch_size,"Not defined"),Blank)</f>
        <v/>
      </c>
      <c r="M338" s="105" t="str">
        <f>IF(B338=1,IF(S2_batch_size&gt;0,S2_batch_size,"Not defined"),Blank)</f>
        <v/>
      </c>
    </row>
    <row r="339" spans="1:21">
      <c r="E339" s="55" t="s">
        <v>228</v>
      </c>
    </row>
    <row r="340" spans="1:21">
      <c r="E340" s="55"/>
    </row>
    <row r="341" spans="1:21">
      <c r="K341" s="108"/>
      <c r="L341" s="108"/>
    </row>
    <row r="342" spans="1:21">
      <c r="A342" s="36">
        <f>IF(S1_stat=1,1,0)</f>
        <v>0</v>
      </c>
      <c r="B342" s="36">
        <f>IF(S2_stat=1,1,0)</f>
        <v>0</v>
      </c>
      <c r="D342" s="91" t="s">
        <v>328</v>
      </c>
      <c r="E342" s="40" t="s">
        <v>175</v>
      </c>
      <c r="K342" s="161" t="str">
        <f>IF($A342=1,CHOOSE(S1_batch_method+1,Blank,"Awaiting","Continuously"),Blank)</f>
        <v/>
      </c>
      <c r="M342" s="161" t="str">
        <f>IF($B342=1,CHOOSE(S2_batch_method+1,Blank,"Awaiting","Continuously"),Blank)</f>
        <v/>
      </c>
    </row>
    <row r="343" spans="1:21">
      <c r="E343" s="40"/>
    </row>
    <row r="344" spans="1:21">
      <c r="A344" s="36">
        <f>IF(S1_stat=1,1,0)</f>
        <v>0</v>
      </c>
      <c r="B344" s="36">
        <f>IF(S2_stat=1,1,0)</f>
        <v>0</v>
      </c>
      <c r="E344" s="40" t="str">
        <f>"Number of batch periods per year ("&amp;Days_year&amp;" days)"</f>
        <v>Number of batch periods per year (365 days)</v>
      </c>
      <c r="K344" s="72" t="str">
        <f>IF($A344=1,IF(N(S1_time_total)=0,Blank,IF(S1_batch_method=1,S1_trip,IF(S1_batch_method=2,Days_year/S1_time_hand,Blank))),Blank)</f>
        <v/>
      </c>
      <c r="M344" s="72" t="str">
        <f>IF($B344=1,IF(N(S2_time_total)=0,Blank,IF(S2_batch_method=1,S2_trip,IF(S2_batch_method=2,Days_year/S2_time_hand,Blank))),Blank)</f>
        <v/>
      </c>
    </row>
    <row r="345" spans="1:21">
      <c r="E345" s="40"/>
    </row>
    <row r="346" spans="1:21" ht="15.75" customHeight="1">
      <c r="D346" s="90" t="s">
        <v>64</v>
      </c>
      <c r="F346" s="87"/>
      <c r="G346" s="87"/>
      <c r="H346" s="87"/>
      <c r="I346" s="87"/>
      <c r="K346" s="87"/>
      <c r="M346" s="87"/>
      <c r="Q346" s="35"/>
      <c r="S346" s="87"/>
      <c r="T346" s="87"/>
      <c r="U346" s="87"/>
    </row>
    <row r="347" spans="1:21" ht="15.75" customHeight="1">
      <c r="D347" s="91" t="str">
        <f>IF(Cust_name="",Blank,Cust_name)</f>
        <v/>
      </c>
      <c r="F347" s="92"/>
      <c r="G347" s="92"/>
      <c r="H347" s="92"/>
      <c r="I347" s="92"/>
      <c r="K347" s="40"/>
      <c r="M347" s="40"/>
      <c r="O347" s="38" t="s">
        <v>241</v>
      </c>
      <c r="Q347" s="35"/>
      <c r="S347" s="87"/>
      <c r="T347" s="87"/>
      <c r="U347" s="87"/>
    </row>
    <row r="348" spans="1:21" ht="15.75" customHeight="1">
      <c r="C348" s="40"/>
      <c r="D348" s="93" t="str">
        <f>IF(Study_ver="",Blank,"Version: "&amp;Study_ver&amp;", ")&amp;IF(Study_date="",Blank,TEXT(Study_date,"d. mmmm åååå"))</f>
        <v/>
      </c>
      <c r="F348" s="92"/>
      <c r="G348" s="92"/>
      <c r="H348" s="92"/>
      <c r="I348" s="92"/>
      <c r="K348" s="94"/>
      <c r="M348" s="94"/>
      <c r="O348" s="94"/>
      <c r="Q348" s="35"/>
      <c r="S348" s="95"/>
      <c r="T348" s="95"/>
      <c r="U348" s="87"/>
    </row>
    <row r="349" spans="1:21" s="35" customFormat="1">
      <c r="A349" s="36"/>
      <c r="B349" s="36"/>
    </row>
    <row r="350" spans="1:21" s="35" customFormat="1"/>
    <row r="351" spans="1:21" ht="30" customHeight="1">
      <c r="A351" s="36">
        <f>IF(S1_stat&gt;0,1,0)</f>
        <v>0</v>
      </c>
      <c r="B351" s="36">
        <f>IF(AND(S1_stat=0,S2_stat&gt;0),1,0)</f>
        <v>0</v>
      </c>
      <c r="D351" s="117" t="str">
        <f>"Calculations "&amp;IF(A351&gt;0,"Study 1",IF(B351&gt;0,"Study 2",Notype))</f>
        <v>Calculations Not current</v>
      </c>
      <c r="E351" s="159"/>
      <c r="F351" s="117"/>
      <c r="G351" s="118" t="s">
        <v>47</v>
      </c>
      <c r="H351" s="118"/>
      <c r="I351" s="119" t="s">
        <v>48</v>
      </c>
      <c r="J351" s="159"/>
      <c r="K351" s="118" t="s">
        <v>49</v>
      </c>
      <c r="L351" s="159"/>
      <c r="M351" s="119" t="s">
        <v>50</v>
      </c>
      <c r="N351" s="159"/>
      <c r="O351" s="118" t="s">
        <v>51</v>
      </c>
      <c r="Q351" s="35"/>
    </row>
    <row r="352" spans="1:21" ht="12.75" customHeight="1">
      <c r="D352" s="79"/>
      <c r="F352" s="79"/>
      <c r="G352" s="113"/>
      <c r="H352" s="113"/>
      <c r="I352" s="120"/>
      <c r="K352" s="113"/>
      <c r="M352" s="120"/>
      <c r="O352" s="113"/>
      <c r="Q352" s="35"/>
    </row>
    <row r="353" spans="1:15" s="35" customFormat="1" ht="15.75">
      <c r="A353" s="36">
        <f>IF(S1_stat&gt;0,1,0)</f>
        <v>0</v>
      </c>
      <c r="B353" s="36">
        <f>IF(AND(S1_stat=0,S2_stat&gt;0),1,0)</f>
        <v>0</v>
      </c>
      <c r="D353" s="76" t="str">
        <f>IF(A353+B353&gt;0,"Transport expectations",Blank)</f>
        <v/>
      </c>
    </row>
    <row r="354" spans="1:15" s="35" customFormat="1" ht="12.75" customHeight="1">
      <c r="D354" s="76"/>
    </row>
    <row r="355" spans="1:15" s="35" customFormat="1">
      <c r="A355" s="36">
        <f>IF(S1_stat&gt;0,1,0)</f>
        <v>0</v>
      </c>
      <c r="B355" s="36">
        <f>IF(AND(S1_stat=0,S2_stat&gt;0),1,0)</f>
        <v>0</v>
      </c>
      <c r="D355" s="53" t="str">
        <f>IF(A355+B355&gt;0,"Number of items shipped",Blank)</f>
        <v/>
      </c>
      <c r="G355" s="97" t="str">
        <f>IF($A355+$B355=0,Blank,IF(N(Calculation!I$15)=0,Blank,Calculation!I$15))</f>
        <v/>
      </c>
      <c r="H355" s="97"/>
      <c r="I355" s="97" t="str">
        <f>IF($A355+$B355=0,Blank,IF(N(Calculation!K$15)=0,Blank,Calculation!K$15))</f>
        <v/>
      </c>
      <c r="K355" s="97" t="str">
        <f>IF($A355+$B355=0,Blank,IF(N(Calculation!M$15)=0,Blank,Calculation!M$15))</f>
        <v/>
      </c>
      <c r="M355" s="97" t="str">
        <f>IF($A355+$B355=0,Blank,IF(N(Calculation!O$15)=0,Blank,Calculation!O$15))</f>
        <v/>
      </c>
      <c r="O355" s="97" t="str">
        <f>IF($A355+$B355=0,Blank,IF(N(Calculation!Q$15)=0,Blank,Calculation!Q$15))</f>
        <v/>
      </c>
    </row>
    <row r="356" spans="1:15" s="35" customFormat="1">
      <c r="A356" s="36">
        <f>IF(S1_stat&gt;0,1,0)</f>
        <v>0</v>
      </c>
      <c r="B356" s="36">
        <f>IF(AND(S1_stat=0,S2_stat&gt;0),1,0)</f>
        <v>0</v>
      </c>
      <c r="D356" s="53" t="str">
        <f>IF(A356+B356&gt;0,"Growth per year",Blank)</f>
        <v/>
      </c>
      <c r="I356" s="77" t="str">
        <f>IF(OR(N(G355)=0,N(I355)=0),Blank,(I355-G355)/G355)</f>
        <v/>
      </c>
      <c r="K356" s="77" t="str">
        <f>IF(OR(N(I355)=0,N(K355)=0),Blank,(K355-I355)/I355)</f>
        <v/>
      </c>
      <c r="M356" s="77" t="str">
        <f>IF(OR(N(K355)=0,N(M355)=0),Blank,(M355-K355)/K355)</f>
        <v/>
      </c>
      <c r="O356" s="77" t="str">
        <f>IF(OR(N(M355)=0,N(O355)=0),Blank,(O355-M355)/M355)</f>
        <v/>
      </c>
    </row>
    <row r="357" spans="1:15" s="35" customFormat="1"/>
    <row r="358" spans="1:15" s="35" customFormat="1" ht="15.75">
      <c r="A358" s="36">
        <f>IF(S1_stat&gt;0,1,0)</f>
        <v>0</v>
      </c>
      <c r="B358" s="36">
        <f>IF(AND(S1_stat=0,S2_stat&gt;0),1,0)</f>
        <v>0</v>
      </c>
      <c r="D358" s="112" t="str">
        <f>IF($A358=1,S1_type&amp;" "&amp;LOWER(S1_box)&amp;" box",IF($B358=1,S2_type&amp;" "&amp;LOWER(S2_box)&amp;" box",Blank))</f>
        <v/>
      </c>
    </row>
    <row r="359" spans="1:15" s="35" customFormat="1"/>
    <row r="360" spans="1:15" s="35" customFormat="1">
      <c r="A360" s="36">
        <f>IF(S1_stat&gt;0,1,0)</f>
        <v>0</v>
      </c>
      <c r="B360" s="36">
        <f>IF(AND(S1_stat=0,S2_stat&gt;0),1,0)</f>
        <v>0</v>
      </c>
      <c r="D360" s="55" t="str">
        <f>IF(A360+B360&gt;0,"Items per box",Blank)</f>
        <v/>
      </c>
      <c r="G360" s="78" t="str">
        <f>IF($A360+$B360=0,Blank,IF($A360=1,Calculation!I$29,Calculation!I$69))</f>
        <v/>
      </c>
      <c r="H360" s="78"/>
      <c r="I360" s="78" t="str">
        <f>IF($A360+$B360=0,Blank,IF($A360=1,Calculation!K$29,Calculation!K$69))</f>
        <v/>
      </c>
      <c r="K360" s="78" t="str">
        <f>IF($A360+$B360=0,Blank,IF($A360=1,Calculation!M$29,Calculation!M$69))</f>
        <v/>
      </c>
      <c r="M360" s="78" t="str">
        <f>IF($A360+$B360=0,Blank,IF($A360=1,Calculation!O$29,Calculation!O$69))</f>
        <v/>
      </c>
      <c r="O360" s="78" t="str">
        <f>IF($A360+$B360=0,Blank,IF($A360=1,Calculation!Q$29,Calculation!Q$69))</f>
        <v/>
      </c>
    </row>
    <row r="361" spans="1:15" s="35" customFormat="1">
      <c r="A361" s="36">
        <f>IF(S1_stat&gt;0,1,0)</f>
        <v>0</v>
      </c>
      <c r="B361" s="36">
        <f>IF(AND(S1_stat=0,S2_stat&gt;0),1,0)</f>
        <v>0</v>
      </c>
      <c r="D361" s="53" t="str">
        <f>IF(A361+B361&gt;0,"Boxes to be sent",Blank)</f>
        <v/>
      </c>
      <c r="G361" s="80" t="str">
        <f>IF($A361+$B361=0,Blank,IF($A361=1,Calculation!I$30,Calculation!I$70))</f>
        <v/>
      </c>
      <c r="H361" s="80"/>
      <c r="I361" s="80" t="str">
        <f>IF($A361+$B361=0,Blank,IF($A361=1,Calculation!K$30,Calculation!K$70))</f>
        <v/>
      </c>
      <c r="K361" s="80" t="str">
        <f>IF($A361+$B361=0,Blank,IF($A361=1,Calculation!M$30,Calculation!M$70))</f>
        <v/>
      </c>
      <c r="M361" s="80" t="str">
        <f>IF($A361+$B361=0,Blank,IF($A361=1,Calculation!O$30,Calculation!O$70))</f>
        <v/>
      </c>
      <c r="O361" s="80" t="str">
        <f>IF($A361+$B361=0,Blank,IF($A361=1,Calculation!Q$30,Calculation!Q$70))</f>
        <v/>
      </c>
    </row>
    <row r="362" spans="1:15" s="35" customFormat="1">
      <c r="D362" s="53"/>
      <c r="G362" s="78"/>
      <c r="H362" s="78"/>
      <c r="I362" s="78"/>
      <c r="K362" s="78"/>
      <c r="M362" s="78"/>
      <c r="O362" s="78"/>
    </row>
    <row r="363" spans="1:15" s="35" customFormat="1">
      <c r="A363" s="36">
        <f>IF(S1_stat&gt;0,1,0)</f>
        <v>0</v>
      </c>
      <c r="B363" s="36">
        <f>IF(AND(S1_stat=0,S2_stat&gt;0),1,0)</f>
        <v>0</v>
      </c>
      <c r="D363" s="55" t="str">
        <f>IF(A363=1,"Boxes per sent "&amp;LOWER(S1_trans_send),IF(B363=1,"Boxes per sent "&amp;LOWER(S2_trans_send),Blank))</f>
        <v/>
      </c>
      <c r="G363" s="78" t="str">
        <f>IF($A363+$B363=0,Blank,IF($A363=1,Calculation!I$32,Calculation!I$72))</f>
        <v/>
      </c>
      <c r="H363" s="78"/>
      <c r="I363" s="78" t="str">
        <f>IF($A363+$B363=0,Blank,IF($A363=1,Calculation!K$32,Calculation!K$72))</f>
        <v/>
      </c>
      <c r="K363" s="78" t="str">
        <f>IF($A363+$B363=0,Blank,IF($A363=1,Calculation!M$32,Calculation!M$72))</f>
        <v/>
      </c>
      <c r="M363" s="78" t="str">
        <f>IF($A363+$B363=0,Blank,IF($A363=1,Calculation!O$32,Calculation!O$72))</f>
        <v/>
      </c>
      <c r="O363" s="78" t="str">
        <f>IF($A363+$B363=0,Blank,IF($A363=1,Calculation!Q$32,Calculation!Q$72))</f>
        <v/>
      </c>
    </row>
    <row r="364" spans="1:15" s="35" customFormat="1">
      <c r="A364" s="36">
        <f>IF(S1_stat&gt;0,1,0)</f>
        <v>0</v>
      </c>
      <c r="B364" s="36">
        <f>IF(AND(S1_stat=0,S2_stat&gt;0),1,0)</f>
        <v>0</v>
      </c>
      <c r="D364" s="53" t="str">
        <f>IF(A364=1,S1_trans_send&amp;"s to be sent",IF(B364=1,S2_trans_send&amp;"s to be sent",Blank))</f>
        <v/>
      </c>
      <c r="G364" s="80" t="str">
        <f>IF($A364+$B364=0,Blank,IF($A364=1,Calculation!I$33,Calculation!I$73))</f>
        <v/>
      </c>
      <c r="H364" s="80"/>
      <c r="I364" s="80" t="str">
        <f>IF($A364+$B364=0,Blank,IF($A364=1,Calculation!K$33,Calculation!K$73))</f>
        <v/>
      </c>
      <c r="K364" s="80" t="str">
        <f>IF($A364+$B364=0,Blank,IF($A364=1,Calculation!M$33,Calculation!M$73))</f>
        <v/>
      </c>
      <c r="M364" s="80" t="str">
        <f>IF($A364+$B364=0,Blank,IF($A364=1,Calculation!O$33,Calculation!O$73))</f>
        <v/>
      </c>
      <c r="O364" s="80" t="str">
        <f>IF($A364+$B364=0,Blank,IF($A364=1,Calculation!Q$33,Calculation!Q$73))</f>
        <v/>
      </c>
    </row>
    <row r="365" spans="1:15" s="35" customFormat="1"/>
    <row r="366" spans="1:15" s="35" customFormat="1">
      <c r="A366" s="36">
        <f>IF(S1_stat=1,1,0)</f>
        <v>0</v>
      </c>
      <c r="B366" s="36">
        <f>IF(AND(S1_stat=0,S2_stat=1),1,0)</f>
        <v>0</v>
      </c>
      <c r="D366" s="55" t="str">
        <f>IF(A366=1,"Collapsed boxes per returned "&amp;LOWER(S1_trans_return),IF(B366=1,"Collapsed boxes per returned "&amp;LOWER(S2_trans_return),Blank))</f>
        <v/>
      </c>
      <c r="G366" s="78" t="str">
        <f>IF($A366+$B366=0,Blank,IF($A366=1,Calculation!I$35,Calculation!I$75))</f>
        <v/>
      </c>
      <c r="H366" s="78"/>
      <c r="I366" s="78" t="str">
        <f>IF($A366+$B366=0,Blank,IF($A366=1,Calculation!K$35,Calculation!K$75))</f>
        <v/>
      </c>
      <c r="K366" s="78" t="str">
        <f>IF($A366+$B366=0,Blank,IF($A366=1,Calculation!M$35,Calculation!M$75))</f>
        <v/>
      </c>
      <c r="M366" s="78" t="str">
        <f>IF($A366+$B366=0,Blank,IF($A366=1,Calculation!O$35,Calculation!O$75))</f>
        <v/>
      </c>
      <c r="O366" s="78" t="str">
        <f>IF($A366+$B366=0,Blank,IF($A366=1,Calculation!Q$35,Calculation!Q$75))</f>
        <v/>
      </c>
    </row>
    <row r="367" spans="1:15" s="35" customFormat="1">
      <c r="A367" s="36">
        <f>IF(S1_stat=1,1,0)</f>
        <v>0</v>
      </c>
      <c r="B367" s="36">
        <f>IF(AND(S1_stat=0,S2_stat=1),1,0)</f>
        <v>0</v>
      </c>
      <c r="D367" s="53" t="str">
        <f>IF(A367=1,S1_trans_return&amp;"s to be returned",IF(B367=1,S2_trans_return&amp;"s to be returned",Blank))</f>
        <v/>
      </c>
      <c r="G367" s="80" t="str">
        <f>IF($A367+$B367=0,Blank,IF($A367=1,Calculation!I$36,Calculation!I$76))</f>
        <v/>
      </c>
      <c r="H367" s="80"/>
      <c r="I367" s="80" t="str">
        <f>IF($A367+$B367=0,Blank,IF($A367=1,Calculation!K$36,Calculation!K$76))</f>
        <v/>
      </c>
      <c r="K367" s="80" t="str">
        <f>IF($A367+$B367=0,Blank,IF($A367=1,Calculation!M$36,Calculation!M$76))</f>
        <v/>
      </c>
      <c r="M367" s="80" t="str">
        <f>IF($A367+$B367=0,Blank,IF($A367=1,Calculation!O$36,Calculation!O$76))</f>
        <v/>
      </c>
      <c r="O367" s="80" t="str">
        <f>IF($A367+$B367=0,Blank,IF($A367=1,Calculation!Q$36,Calculation!Q$76))</f>
        <v/>
      </c>
    </row>
    <row r="368" spans="1:15" s="35" customFormat="1"/>
    <row r="369" spans="1:15" s="35" customFormat="1">
      <c r="A369" s="36">
        <f>IF(S1_stat=1,1,0)</f>
        <v>0</v>
      </c>
      <c r="B369" s="36">
        <f>IF(AND(S1_stat=0,S2_stat=1),1,0)</f>
        <v>0</v>
      </c>
      <c r="D369" s="82" t="str">
        <f>IF(A369=1,CHOOSE(S1_batch_method+1,"Method of batch handling missing","Awaiting batch handling;","Continuously batch handling"),IF(B369=1,CHOOSE(S2_batch_method+1,"Method of batch handling missing","Awaiting batch handling;","Continuously batch handling"),Blank))</f>
        <v/>
      </c>
    </row>
    <row r="370" spans="1:15" s="35" customFormat="1">
      <c r="A370" s="36">
        <f>IF(S1_stat=1,1,0)</f>
        <v>0</v>
      </c>
      <c r="B370" s="36">
        <f>IF(AND(S1_stat=0,S2_stat=1),1,0)</f>
        <v>0</v>
      </c>
      <c r="D370" s="82" t="str">
        <f>IF(A370=1,CHOOSE(S1_batch_method+1,Blank,"(every handling period awaits reurn boxes)","(every handling period follows by a new)"),IF(B370=1,CHOOSE(S2_batch_method+1,Blank,"(every handling period awaits reurn boxes)","(every handling period follows by a new)"),Blank))</f>
        <v/>
      </c>
    </row>
    <row r="371" spans="1:15" s="35" customFormat="1">
      <c r="D371" s="81"/>
    </row>
    <row r="372" spans="1:15" s="35" customFormat="1">
      <c r="A372" s="36">
        <f>IF(S1_stat=1,1,0)</f>
        <v>0</v>
      </c>
      <c r="B372" s="36">
        <f>IF(AND(S1_stat=0,S2_stat=1),1,0)</f>
        <v>0</v>
      </c>
      <c r="D372" s="93" t="str">
        <f>IF(A372+B372&gt;0,"Handling time at sender",Blank)</f>
        <v/>
      </c>
      <c r="G372" s="71" t="str">
        <f>IF($A372+$B372=0,Blank,IF($A372=1,Calculation!I$40,Calculation!I$80))</f>
        <v/>
      </c>
      <c r="I372" s="71" t="str">
        <f>IF($A372+$B372=0,Blank,IF($A372=1,Calculation!K$40,Calculation!K$80))</f>
        <v/>
      </c>
      <c r="K372" s="71" t="str">
        <f>IF($A372+$B372=0,Blank,IF($A372=1,Calculation!M$40,Calculation!M$80))</f>
        <v/>
      </c>
      <c r="M372" s="71" t="str">
        <f>IF($A372+$B372=0,Blank,IF($A372=1,Calculation!O$40,Calculation!O$80))</f>
        <v/>
      </c>
      <c r="O372" s="71" t="str">
        <f>IF($A372+$B372=0,Blank,IF($A372=1,Calculation!Q$40,Calculation!Q$80))</f>
        <v/>
      </c>
    </row>
    <row r="373" spans="1:15" s="35" customFormat="1">
      <c r="A373" s="36">
        <f>IF(S1_stat=1,1,0)</f>
        <v>0</v>
      </c>
      <c r="B373" s="36">
        <f>IF(AND(S1_stat=0,S2_stat=1),1,0)</f>
        <v>0</v>
      </c>
      <c r="D373" s="93" t="str">
        <f>IF(A373+B373&gt;0,"Transport to receiver",Blank)</f>
        <v/>
      </c>
      <c r="G373" s="71" t="str">
        <f>IF($A373+$B373=0,Blank,IF($A373=1,Calculation!I$41,Calculation!I$81))</f>
        <v/>
      </c>
      <c r="I373" s="71" t="str">
        <f>IF($A373+$B373=0,Blank,IF($A373=1,Calculation!K$41,Calculation!K$81))</f>
        <v/>
      </c>
      <c r="K373" s="71" t="str">
        <f>IF($A373+$B373=0,Blank,IF($A373=1,Calculation!M$41,Calculation!M$81))</f>
        <v/>
      </c>
      <c r="M373" s="71" t="str">
        <f>IF($A373+$B373=0,Blank,IF($A373=1,Calculation!O$41,Calculation!O$81))</f>
        <v/>
      </c>
      <c r="O373" s="71" t="str">
        <f>IF($A373+$B373=0,Blank,IF($A373=1,Calculation!Q$41,Calculation!Q$81))</f>
        <v/>
      </c>
    </row>
    <row r="374" spans="1:15" s="35" customFormat="1">
      <c r="A374" s="36">
        <f>IF(S1_stat=1,1,0)</f>
        <v>0</v>
      </c>
      <c r="B374" s="36">
        <f>IF(AND(S1_stat=0,S2_stat=1),1,0)</f>
        <v>0</v>
      </c>
      <c r="D374" s="93" t="str">
        <f>IF(A374+B374&gt;0,"Handling time at receiver",Blank)</f>
        <v/>
      </c>
      <c r="G374" s="71" t="str">
        <f>IF($A374+$B374=0,Blank,IF($A374=1,Calculation!I$42,Calculation!I$82))</f>
        <v/>
      </c>
      <c r="I374" s="71" t="str">
        <f>IF($A374+$B374=0,Blank,IF($A374=1,Calculation!K$42,Calculation!K$82))</f>
        <v/>
      </c>
      <c r="K374" s="71" t="str">
        <f>IF($A374+$B374=0,Blank,IF($A374=1,Calculation!M$42,Calculation!M$82))</f>
        <v/>
      </c>
      <c r="M374" s="71" t="str">
        <f>IF($A374+$B374=0,Blank,IF($A374=1,Calculation!O$42,Calculation!O$82))</f>
        <v/>
      </c>
      <c r="O374" s="71" t="str">
        <f>IF($A374+$B374=0,Blank,IF($A374=1,Calculation!Q$42,Calculation!Q$82))</f>
        <v/>
      </c>
    </row>
    <row r="375" spans="1:15" s="35" customFormat="1">
      <c r="A375" s="36">
        <f>IF(S1_stat=1,1,0)</f>
        <v>0</v>
      </c>
      <c r="B375" s="36">
        <f>IF(AND(S1_stat=0,S2_stat=1),1,0)</f>
        <v>0</v>
      </c>
      <c r="D375" s="93" t="str">
        <f>IF(A375+B375&gt;0,"Return transport to sender",Blank)</f>
        <v/>
      </c>
      <c r="G375" s="71" t="str">
        <f>IF($A375+$B375=0,Blank,IF($A375=1,Calculation!I$43,Calculation!I$83))</f>
        <v/>
      </c>
      <c r="I375" s="71" t="str">
        <f>IF($A375+$B375=0,Blank,IF($A375=1,Calculation!K$43,Calculation!K$83))</f>
        <v/>
      </c>
      <c r="K375" s="71" t="str">
        <f>IF($A375+$B375=0,Blank,IF($A375=1,Calculation!M$43,Calculation!M$83))</f>
        <v/>
      </c>
      <c r="M375" s="71" t="str">
        <f>IF($A375+$B375=0,Blank,IF($A375=1,Calculation!O$43,Calculation!O$83))</f>
        <v/>
      </c>
      <c r="O375" s="71" t="str">
        <f>IF($A375+$B375=0,Blank,IF($A375=1,Calculation!Q$43,Calculation!Q$83))</f>
        <v/>
      </c>
    </row>
    <row r="376" spans="1:15" s="35" customFormat="1">
      <c r="A376" s="36">
        <f>IF(S1_stat=1,1,0)</f>
        <v>0</v>
      </c>
      <c r="B376" s="36">
        <f>IF(AND(S1_stat=0,S2_stat=1),1,0)</f>
        <v>0</v>
      </c>
      <c r="D376" s="93" t="str">
        <f>IF(A376+B376&gt;0,"Total engaded time",Blank)</f>
        <v/>
      </c>
      <c r="G376" s="70" t="str">
        <f>IF($A376+$B376=0,Blank,IF($A376=1,Calculation!I$44,Calculation!I$84))</f>
        <v/>
      </c>
      <c r="I376" s="70" t="str">
        <f>IF($A376+$B376=0,Blank,IF($A376=1,Calculation!K$44,Calculation!K$84))</f>
        <v/>
      </c>
      <c r="K376" s="70" t="str">
        <f>IF($A376+$B376=0,Blank,IF($A376=1,Calculation!M$44,Calculation!M$84))</f>
        <v/>
      </c>
      <c r="M376" s="70" t="str">
        <f>IF($A376+$B376=0,Blank,IF($A376=1,Calculation!O$44,Calculation!O$84))</f>
        <v/>
      </c>
      <c r="O376" s="70" t="str">
        <f>IF($A376+$B376=0,Blank,IF($A376=1,Calculation!Q$44,Calculation!Q$84))</f>
        <v/>
      </c>
    </row>
    <row r="377" spans="1:15" s="35" customFormat="1">
      <c r="D377" s="81"/>
    </row>
    <row r="378" spans="1:15" s="35" customFormat="1">
      <c r="A378" s="36">
        <f>IF(S1_stat=1,1,0)</f>
        <v>0</v>
      </c>
      <c r="B378" s="36">
        <f>IF(AND(S1_stat=0,S2_stat=1),1,0)</f>
        <v>0</v>
      </c>
      <c r="D378" s="82" t="str">
        <f>IF(A378+B378&gt;0,"Number of handling batches",Blank)</f>
        <v/>
      </c>
      <c r="G378" s="72" t="str">
        <f>IF($A378+$B378=0,Blank,IF($A378=1,Calculation!I$46,Calculation!I$86))</f>
        <v/>
      </c>
      <c r="H378" s="83"/>
      <c r="I378" s="72" t="str">
        <f>IF($A378+$B378=0,Blank,IF($A378=1,Calculation!K$46,Calculation!K$86))</f>
        <v/>
      </c>
      <c r="K378" s="72" t="str">
        <f>IF($A378+$B378=0,Blank,IF($A378=1,Calculation!M$46,Calculation!M$86))</f>
        <v/>
      </c>
      <c r="M378" s="72" t="str">
        <f>IF($A378+$B378=0,Blank,IF($A378=1,Calculation!O$46,Calculation!O$86))</f>
        <v/>
      </c>
      <c r="O378" s="72" t="str">
        <f>IF($A378+$B378=0,Blank,IF($A378=1,Calculation!Q$46,Calculation!Q$86))</f>
        <v/>
      </c>
    </row>
    <row r="379" spans="1:15" s="35" customFormat="1">
      <c r="A379" s="36">
        <f>IF(S1_stat=1,1,0)</f>
        <v>0</v>
      </c>
      <c r="B379" s="36">
        <f>IF(AND(S1_stat=0,S2_stat=1),1,0)</f>
        <v>0</v>
      </c>
      <c r="D379" s="53" t="str">
        <f>IF(A379+B379&gt;0,"Items per handling batch",Blank)</f>
        <v/>
      </c>
      <c r="G379" s="72" t="str">
        <f>IF($A379+$B379=0,Blank,IF($A379=1,Calculation!I$47,Calculation!I$87))</f>
        <v/>
      </c>
      <c r="H379" s="83"/>
      <c r="I379" s="72" t="str">
        <f>IF($A379+$B379=0,Blank,IF($A379=1,Calculation!K$47,Calculation!K$87))</f>
        <v/>
      </c>
      <c r="K379" s="72" t="str">
        <f>IF($A379+$B379=0,Blank,IF($A379=1,Calculation!M$47,Calculation!M$87))</f>
        <v/>
      </c>
      <c r="M379" s="72" t="str">
        <f>IF($A379+$B379=0,Blank,IF($A379=1,Calculation!O$47,Calculation!O$87))</f>
        <v/>
      </c>
      <c r="O379" s="72" t="str">
        <f>IF($A379+$B379=0,Blank,IF($A379=1,Calculation!Q$47,Calculation!Q$87))</f>
        <v/>
      </c>
    </row>
    <row r="380" spans="1:15" s="35" customFormat="1">
      <c r="D380" s="82"/>
      <c r="G380" s="128"/>
      <c r="H380" s="83"/>
      <c r="I380" s="128"/>
      <c r="K380" s="128"/>
      <c r="M380" s="128"/>
      <c r="O380" s="128"/>
    </row>
    <row r="381" spans="1:15" s="35" customFormat="1">
      <c r="A381" s="36">
        <f>IF(S1_stat=1,1,0)</f>
        <v>0</v>
      </c>
      <c r="B381" s="36">
        <f>IF(AND(S1_stat=0,S2_stat=1),1,0)</f>
        <v>0</v>
      </c>
      <c r="D381" s="53" t="str">
        <f>IF(A381+B381&gt;0,"Boxes needed per handling batch",Blank)</f>
        <v/>
      </c>
      <c r="G381" s="72" t="str">
        <f>IF($A381+$B381=0,Blank,IF($A381=1,Calculation!I$49,Calculation!I$89))</f>
        <v/>
      </c>
      <c r="H381" s="83"/>
      <c r="I381" s="72" t="str">
        <f>IF($A381+$B381=0,Blank,IF($A381=1,Calculation!K$49,Calculation!K$89))</f>
        <v/>
      </c>
      <c r="K381" s="72" t="str">
        <f>IF($A381+$B381=0,Blank,IF($A381=1,Calculation!M$49,Calculation!M$89))</f>
        <v/>
      </c>
      <c r="M381" s="72" t="str">
        <f>IF($A381+$B381=0,Blank,IF($A381=1,Calculation!O$49,Calculation!O$89))</f>
        <v/>
      </c>
      <c r="O381" s="72" t="str">
        <f>IF($A381+$B381=0,Blank,IF($A381=1,Calculation!Q$49,Calculation!Q$89))</f>
        <v/>
      </c>
    </row>
    <row r="382" spans="1:15" s="35" customFormat="1">
      <c r="A382" s="36">
        <f>IF(S1_stat=1,1,0)</f>
        <v>0</v>
      </c>
      <c r="B382" s="36">
        <f>IF(AND(S1_stat=0,S2_stat=1),1,0)</f>
        <v>0</v>
      </c>
      <c r="D382" s="53" t="str">
        <f>IF(A382+B382&gt;0,"Boxes used elsewhere",Blank)</f>
        <v/>
      </c>
      <c r="G382" s="129" t="str">
        <f>IF($A382+$B382=0,Blank,IF($A382=1,Calculation!I$50,Calculation!I$90))</f>
        <v/>
      </c>
      <c r="H382" s="80"/>
      <c r="I382" s="129" t="str">
        <f>IF($A382+$B382=0,Blank,IF($A382=1,Calculation!K$50,Calculation!K$90))</f>
        <v/>
      </c>
      <c r="K382" s="129" t="str">
        <f>IF($A382+$B382=0,Blank,IF($A382=1,Calculation!M$50,Calculation!M$90))</f>
        <v/>
      </c>
      <c r="M382" s="129" t="str">
        <f>IF($A382+$B382=0,Blank,IF($A382=1,Calculation!O$50,Calculation!O$90))</f>
        <v/>
      </c>
      <c r="O382" s="129" t="str">
        <f>IF($A382+$B382=0,Blank,IF($A382=1,Calculation!Q$50,Calculation!Q$90))</f>
        <v/>
      </c>
    </row>
    <row r="383" spans="1:15" s="35" customFormat="1">
      <c r="A383" s="36"/>
      <c r="B383" s="36"/>
      <c r="D383" s="53"/>
      <c r="G383" s="129"/>
      <c r="H383" s="80"/>
      <c r="I383" s="129"/>
      <c r="K383" s="129"/>
      <c r="M383" s="129"/>
      <c r="O383" s="129"/>
    </row>
    <row r="384" spans="1:15" s="35" customFormat="1">
      <c r="A384" s="36">
        <f>IF(S1_stat=1,1,0)</f>
        <v>0</v>
      </c>
      <c r="B384" s="36">
        <f>IF(AND(S1_stat=0,S2_stat=1),1,0)</f>
        <v>0</v>
      </c>
      <c r="D384" s="53" t="str">
        <f>IF(A384=1,S1_trans_send&amp;"s to be sent per handling",IF(B384=1,S2_trans_send&amp;"s to be sent per handling",Blank))</f>
        <v/>
      </c>
      <c r="G384" s="72" t="str">
        <f>IF($A384+$B384=0,Blank,IF($A384=1,Calculation!I$52,Calculation!I$92))</f>
        <v/>
      </c>
      <c r="H384" s="83"/>
      <c r="I384" s="72" t="str">
        <f>IF($A384+$B384=0,Blank,IF($A384=1,Calculation!K$52,Calculation!K$92))</f>
        <v/>
      </c>
      <c r="K384" s="72" t="str">
        <f>IF($A384+$B384=0,Blank,IF($A384=1,Calculation!M$52,Calculation!M$92))</f>
        <v/>
      </c>
      <c r="M384" s="72" t="str">
        <f>IF($A384+$B384=0,Blank,IF($A384=1,Calculation!O$52,Calculation!O$92))</f>
        <v/>
      </c>
      <c r="O384" s="72" t="str">
        <f>IF($A384+$B384=0,Blank,IF($A384=1,Calculation!Q$49,Calculation!Q$89))</f>
        <v/>
      </c>
    </row>
    <row r="385" spans="1:15" s="35" customFormat="1">
      <c r="A385" s="36">
        <f>IF(S1_stat=1,1,0)</f>
        <v>0</v>
      </c>
      <c r="B385" s="36">
        <f>IF(AND(S1_stat=0,S2_stat=1),1,0)</f>
        <v>0</v>
      </c>
      <c r="D385" s="53" t="str">
        <f>IF(A385=1,"batch",IF(B385=1,"batch",Blank))</f>
        <v/>
      </c>
      <c r="G385" s="72"/>
      <c r="H385" s="83"/>
      <c r="I385" s="72"/>
      <c r="K385" s="72"/>
      <c r="M385" s="72"/>
      <c r="O385" s="72" t="str">
        <f>IF($A385+$B385=0,Blank,IF($A385=1,Calculation!Q$49,Calculation!Q$89))</f>
        <v/>
      </c>
    </row>
    <row r="386" spans="1:15" s="35" customFormat="1">
      <c r="D386" s="53"/>
      <c r="G386" s="129"/>
      <c r="H386" s="80"/>
      <c r="I386" s="129"/>
      <c r="K386" s="129"/>
      <c r="M386" s="129"/>
      <c r="O386" s="129"/>
    </row>
    <row r="387" spans="1:15" s="35" customFormat="1">
      <c r="A387" s="36">
        <f>IF(S1_stat&gt;0,1,0)</f>
        <v>0</v>
      </c>
      <c r="B387" s="36">
        <f>IF(AND(S1_stat=0,S2_stat&gt;0),1,0)</f>
        <v>0</v>
      </c>
      <c r="D387" s="53" t="str">
        <f>IF(A387+B387&gt;0,"Boxes to purchase/lease",Blank)</f>
        <v/>
      </c>
      <c r="G387" s="129" t="str">
        <f>IF($A387+$B387=0,Blank,IF($A387=1,Calculation!I$54,Calculation!I$94))</f>
        <v/>
      </c>
      <c r="H387" s="80"/>
      <c r="I387" s="129" t="str">
        <f>IF($A387+$B387=0,Blank,IF($A387=1,Calculation!K$54,Calculation!K$94))</f>
        <v/>
      </c>
      <c r="K387" s="129" t="str">
        <f>IF($A387+$B387=0,Blank,IF($A387=1,Calculation!M$54,Calculation!M$94))</f>
        <v/>
      </c>
      <c r="M387" s="129" t="str">
        <f>IF($A387+$B387=0,Blank,IF($A387=1,Calculation!O$54,Calculation!O$94))</f>
        <v/>
      </c>
      <c r="O387" s="129" t="str">
        <f>IF($A387+$B387=0,Blank,IF($A387=1,Calculation!Q$54,Calculation!Q$94))</f>
        <v/>
      </c>
    </row>
    <row r="388" spans="1:15" s="35" customFormat="1">
      <c r="A388" s="36">
        <f>IF(S1_stat&gt;0,1,0)</f>
        <v>0</v>
      </c>
      <c r="B388" s="36">
        <f>IF(AND(S1_stat=0,S2_stat&gt;0),1,0)</f>
        <v>0</v>
      </c>
      <c r="D388" s="53" t="str">
        <f>IF(A388+B388&gt;0,"Boxes in circulation",Blank)</f>
        <v/>
      </c>
      <c r="G388" s="129" t="str">
        <f>IF($A388+$B388=0,Blank,IF($A388=1,Calculation!I$55,Calculation!I$95))</f>
        <v/>
      </c>
      <c r="H388" s="80"/>
      <c r="I388" s="129" t="str">
        <f>IF($A388+$B388=0,Blank,IF($A388=1,Calculation!K$55,Calculation!K$95))</f>
        <v/>
      </c>
      <c r="K388" s="129" t="str">
        <f>IF($A388+$B388=0,Blank,IF($A388=1,Calculation!M$55,Calculation!M$95))</f>
        <v/>
      </c>
      <c r="M388" s="129" t="str">
        <f>IF($A388+$B388=0,Blank,IF($A388=1,Calculation!O$55,Calculation!O$95))</f>
        <v/>
      </c>
      <c r="O388" s="129" t="str">
        <f>IF($A388+$B388=0,Blank,IF($A388=1,Calculation!Q$55,Calculation!Q$95))</f>
        <v/>
      </c>
    </row>
    <row r="389" spans="1:15" s="35" customFormat="1">
      <c r="D389" s="53"/>
      <c r="G389" s="80"/>
      <c r="H389" s="80"/>
      <c r="I389" s="80"/>
      <c r="K389" s="80"/>
      <c r="M389" s="80"/>
      <c r="O389" s="80"/>
    </row>
    <row r="390" spans="1:15" s="35" customFormat="1">
      <c r="A390" s="36">
        <f>IF(S1_stat&gt;0,1,0)</f>
        <v>0</v>
      </c>
      <c r="B390" s="36">
        <f>IF(AND(S1_stat=0,S2_stat&gt;0),1,0)</f>
        <v>0</v>
      </c>
      <c r="D390" s="81" t="str">
        <f>IF(A390+B390&gt;0,"Cost in "&amp;Currency&amp;":",Blank)</f>
        <v/>
      </c>
      <c r="G390" s="80"/>
      <c r="H390" s="80"/>
      <c r="I390" s="80"/>
      <c r="K390" s="80"/>
      <c r="M390" s="80"/>
      <c r="O390" s="80"/>
    </row>
    <row r="391" spans="1:15" s="35" customFormat="1">
      <c r="A391" s="36">
        <f>IF(S1_stat&gt;0,1,0)</f>
        <v>0</v>
      </c>
      <c r="B391" s="36">
        <f>IF(AND(S1_stat=0,S2_stat&gt;0),1,0)</f>
        <v>0</v>
      </c>
      <c r="D391" s="53" t="str">
        <f>IF(A391+B391&gt;0,"Cost boxes",Blank)</f>
        <v/>
      </c>
      <c r="G391" s="78" t="str">
        <f>IF($A391+$B391=0,Blank,IF($A391=1,Calculation!I$57,Calculation!I$97))</f>
        <v/>
      </c>
      <c r="H391" s="78"/>
      <c r="I391" s="78" t="str">
        <f>IF($A391+$B391=0,Blank,IF($A391=1,Calculation!K$57,Calculation!K$97))</f>
        <v/>
      </c>
      <c r="K391" s="78" t="str">
        <f>IF($A391+$B391=0,Blank,IF($A391=1,Calculation!M$57,Calculation!M$97))</f>
        <v/>
      </c>
      <c r="M391" s="78" t="str">
        <f>IF($A391+$B391=0,Blank,IF($A391=1,Calculation!O$57,Calculation!O$97))</f>
        <v/>
      </c>
      <c r="O391" s="78" t="str">
        <f>IF($A391+$B391=0,Blank,IF($A391=1,Calculation!Q$57,Calculation!Q$97))</f>
        <v/>
      </c>
    </row>
    <row r="392" spans="1:15" s="35" customFormat="1">
      <c r="A392" s="36">
        <f>IF(S1_stat=1,1,0)</f>
        <v>0</v>
      </c>
      <c r="B392" s="36">
        <f>IF(AND(S1_stat=0,S2_stat=1),1,0)</f>
        <v>0</v>
      </c>
      <c r="D392" s="55" t="str">
        <f>IF(A392+B392&gt;0,"Cost maintenance",Blank)</f>
        <v/>
      </c>
      <c r="G392" s="78" t="str">
        <f>IF($A392+$B392=0,Blank,IF($A392=1,Calculation!I$58,Calculation!I$98))</f>
        <v/>
      </c>
      <c r="H392" s="78"/>
      <c r="I392" s="78" t="str">
        <f>IF($A392+$B392=0,Blank,IF($A392=1,Calculation!K$58,Calculation!K$98))</f>
        <v/>
      </c>
      <c r="K392" s="78" t="str">
        <f>IF($A392+$B392=0,Blank,IF($A392=1,Calculation!M$58,Calculation!M$98))</f>
        <v/>
      </c>
      <c r="M392" s="78" t="str">
        <f>IF($A392+$B392=0,Blank,IF($A392=1,Calculation!O$58,Calculation!O$98))</f>
        <v/>
      </c>
      <c r="O392" s="78" t="str">
        <f>IF($A392+$B392=0,Blank,IF($A392=1,Calculation!Q$58,Calculation!Q$98))</f>
        <v/>
      </c>
    </row>
    <row r="393" spans="1:15" s="35" customFormat="1">
      <c r="A393" s="36">
        <f>IF(S1_stat&gt;0,1,0)</f>
        <v>0</v>
      </c>
      <c r="B393" s="36">
        <f>IF(AND(S1_stat=0,S2_stat&gt;0),1,0)</f>
        <v>0</v>
      </c>
      <c r="D393" s="55" t="str">
        <f>IF(A393+B393&gt;0,"Cost damage",Blank)</f>
        <v/>
      </c>
      <c r="G393" s="78" t="str">
        <f>IF($A393+$B393=0,Blank,IF($A393=1,Calculation!I$59,Calculation!I$99))</f>
        <v/>
      </c>
      <c r="H393" s="78"/>
      <c r="I393" s="78" t="str">
        <f>IF($A393+$B393=0,Blank,IF($A393=1,Calculation!K$59,Calculation!K$99))</f>
        <v/>
      </c>
      <c r="K393" s="78" t="str">
        <f>IF($A393+$B393=0,Blank,IF($A393=1,Calculation!M$59,Calculation!M$99))</f>
        <v/>
      </c>
      <c r="M393" s="78" t="str">
        <f>IF($A393+$B393=0,Blank,IF($A393=1,Calculation!O$59,Calculation!O$99))</f>
        <v/>
      </c>
      <c r="O393" s="78" t="str">
        <f>IF($A393+$B393=0,Blank,IF($A393=1,Calculation!Q$59,Calculation!Q$99))</f>
        <v/>
      </c>
    </row>
    <row r="394" spans="1:15" s="35" customFormat="1">
      <c r="A394" s="36">
        <f>IF(S1_stat&gt;0,1,0)</f>
        <v>0</v>
      </c>
      <c r="B394" s="36">
        <f>IF(AND(S1_stat=0,S2_stat&gt;0),1,0)</f>
        <v>0</v>
      </c>
      <c r="D394" s="55" t="str">
        <f>IF(A394+B394&gt;0,"Cost assembly",Blank)</f>
        <v/>
      </c>
      <c r="G394" s="78" t="str">
        <f>IF($A394+$B394=0,Blank,IF($A394=1,Calculation!I$60,Calculation!I$100))</f>
        <v/>
      </c>
      <c r="H394" s="78"/>
      <c r="I394" s="78" t="str">
        <f>IF($A394+$B394=0,Blank,IF($A394=1,Calculation!K$60,Calculation!K$100))</f>
        <v/>
      </c>
      <c r="K394" s="78" t="str">
        <f>IF($A394+$B394=0,Blank,IF($A394=1,Calculation!M$60,Calculation!M$100))</f>
        <v/>
      </c>
      <c r="M394" s="78" t="str">
        <f>IF($A394+$B394=0,Blank,IF($A394=1,Calculation!O$60,Calculation!O$100))</f>
        <v/>
      </c>
      <c r="O394" s="78" t="str">
        <f>IF($A394+$B394=0,Blank,IF($A394=1,Calculation!Q$60,Calculation!Q$100))</f>
        <v/>
      </c>
    </row>
    <row r="395" spans="1:15" s="35" customFormat="1">
      <c r="A395" s="36">
        <f>IF(S1_stat&gt;0,1,0)</f>
        <v>0</v>
      </c>
      <c r="B395" s="36">
        <f>IF(AND(S1_stat=0,S2_stat&gt;0),1,0)</f>
        <v>0</v>
      </c>
      <c r="D395" s="55" t="str">
        <f>IF(A395+B395&gt;0,"Cost transport sending",Blank)</f>
        <v/>
      </c>
      <c r="G395" s="78" t="str">
        <f>IF($A395+$B395=0,Blank,IF($A395=1,Calculation!I$61,Calculation!I$101))</f>
        <v/>
      </c>
      <c r="H395" s="78"/>
      <c r="I395" s="78" t="str">
        <f>IF($A395+$B395=0,Blank,IF($A395=1,Calculation!K$61,Calculation!K$101))</f>
        <v/>
      </c>
      <c r="K395" s="78" t="str">
        <f>IF($A395+$B395=0,Blank,IF($A395=1,Calculation!M$61,Calculation!M$101))</f>
        <v/>
      </c>
      <c r="M395" s="78" t="str">
        <f>IF($A395+$B395=0,Blank,IF($A395=1,Calculation!O$61,Calculation!O$101))</f>
        <v/>
      </c>
      <c r="O395" s="78" t="str">
        <f>IF($A395+$B395=0,Blank,IF($A395=1,Calculation!Q$61,Calculation!Q$101))</f>
        <v/>
      </c>
    </row>
    <row r="396" spans="1:15" s="35" customFormat="1">
      <c r="A396" s="36">
        <f>IF(S1_stat=1,1,0)</f>
        <v>0</v>
      </c>
      <c r="B396" s="36">
        <f>IF(AND(S1_stat=0,S2_stat=1),1,0)</f>
        <v>0</v>
      </c>
      <c r="D396" s="55" t="str">
        <f>IF(A396+B396&gt;0,"Cost transport return",Blank)</f>
        <v/>
      </c>
      <c r="G396" s="78" t="str">
        <f>IF($A396+$B396=0,Blank,IF($A396=1,Calculation!I$62,Calculation!I$102))</f>
        <v/>
      </c>
      <c r="H396" s="78"/>
      <c r="I396" s="78" t="str">
        <f>IF($A396+$B396=0,Blank,IF($A396=1,Calculation!K$62,Calculation!K$102))</f>
        <v/>
      </c>
      <c r="K396" s="78" t="str">
        <f>IF($A396+$B396=0,Blank,IF($A396=1,Calculation!M$62,Calculation!M$102))</f>
        <v/>
      </c>
      <c r="M396" s="78" t="str">
        <f>IF($A396+$B396=0,Blank,IF($A396=1,Calculation!O$62,Calculation!O$102))</f>
        <v/>
      </c>
      <c r="O396" s="78" t="str">
        <f>IF($A396+$B396=0,Blank,IF($A396=1,Calculation!Q$62,Calculation!Q$102))</f>
        <v/>
      </c>
    </row>
    <row r="397" spans="1:15" s="35" customFormat="1">
      <c r="A397" s="36">
        <f>IF(S1_stat&gt;0,1,0)</f>
        <v>0</v>
      </c>
      <c r="B397" s="36">
        <f>IF(AND(S1_stat=0,S2_stat&gt;0),1,0)</f>
        <v>0</v>
      </c>
      <c r="D397" s="55" t="str">
        <f>IF(A397+B397&gt;0,"Cost total",Blank)</f>
        <v/>
      </c>
      <c r="G397" s="84" t="str">
        <f>IF($A397+$B397=0,Blank,IF($A397=1,Calculation!I$63,Calculation!I$103))</f>
        <v/>
      </c>
      <c r="H397" s="84"/>
      <c r="I397" s="84" t="str">
        <f>IF($A397+$B397=0,Blank,IF($A397=1,Calculation!K$63,Calculation!K$103))</f>
        <v/>
      </c>
      <c r="K397" s="84" t="str">
        <f>IF($A397+$B397=0,Blank,IF($A397=1,Calculation!M$63,Calculation!M$103))</f>
        <v/>
      </c>
      <c r="M397" s="84" t="str">
        <f>IF($A397+$B397=0,Blank,IF($A397=1,Calculation!O$63,Calculation!O$103))</f>
        <v/>
      </c>
      <c r="O397" s="84" t="str">
        <f>IF($A397+$B397=0,Blank,IF($A397=1,Calculation!Q$63,Calculation!Q$103))</f>
        <v/>
      </c>
    </row>
    <row r="398" spans="1:15" s="35" customFormat="1">
      <c r="A398" s="36">
        <f>IF(S1_stat&gt;0,1,0)</f>
        <v>0</v>
      </c>
      <c r="B398" s="36">
        <f>IF(AND(S1_stat=0,S2_stat&gt;0),1,0)</f>
        <v>0</v>
      </c>
      <c r="D398" s="55" t="str">
        <f>IF(A398+B398&gt;0,"Cost total accumulated",Blank)</f>
        <v/>
      </c>
      <c r="G398" s="78" t="str">
        <f>IF($A398+$B398=0,Blank,IF($A398=1,Calculation!I$64,Calculation!I$104))</f>
        <v/>
      </c>
      <c r="H398" s="78"/>
      <c r="I398" s="78" t="str">
        <f>IF($A398+$B398=0,Blank,IF($A398=1,Calculation!K$64,Calculation!K$104))</f>
        <v/>
      </c>
      <c r="K398" s="78" t="str">
        <f>IF($A398+$B398=0,Blank,IF($A398=1,Calculation!M$64,Calculation!M$104))</f>
        <v/>
      </c>
      <c r="M398" s="78" t="str">
        <f>IF($A398+$B398=0,Blank,IF($A398=1,Calculation!O$64,Calculation!O$104))</f>
        <v/>
      </c>
      <c r="O398" s="78" t="str">
        <f>IF($A398+$B398=0,Blank,IF($A398=1,Calculation!Q$64,Calculation!Q$104))</f>
        <v/>
      </c>
    </row>
    <row r="399" spans="1:15" s="35" customFormat="1">
      <c r="A399" s="36"/>
      <c r="B399" s="36"/>
      <c r="D399" s="55"/>
      <c r="G399" s="78"/>
      <c r="H399" s="78"/>
      <c r="I399" s="78"/>
      <c r="K399" s="78"/>
      <c r="M399" s="78"/>
      <c r="O399" s="78"/>
    </row>
    <row r="400" spans="1:15" s="35" customFormat="1" ht="12.75" customHeight="1">
      <c r="A400" s="36"/>
      <c r="B400" s="36"/>
      <c r="D400" s="55"/>
      <c r="G400" s="78"/>
      <c r="H400" s="78"/>
      <c r="I400" s="78"/>
      <c r="K400" s="78"/>
      <c r="M400" s="78"/>
      <c r="O400" s="78"/>
    </row>
    <row r="401" spans="1:21" ht="15.75" customHeight="1">
      <c r="D401" s="90" t="s">
        <v>64</v>
      </c>
      <c r="F401" s="87"/>
      <c r="G401" s="87"/>
      <c r="H401" s="87"/>
      <c r="I401" s="87"/>
      <c r="K401" s="87"/>
      <c r="M401" s="87"/>
      <c r="Q401" s="35"/>
      <c r="S401" s="87"/>
      <c r="T401" s="87"/>
      <c r="U401" s="87"/>
    </row>
    <row r="402" spans="1:21" ht="15.75" customHeight="1">
      <c r="D402" s="91" t="str">
        <f>IF(Cust_name="",Blank,Cust_name)</f>
        <v/>
      </c>
      <c r="F402" s="92"/>
      <c r="G402" s="92"/>
      <c r="H402" s="92"/>
      <c r="I402" s="92"/>
      <c r="K402" s="40"/>
      <c r="M402" s="40"/>
      <c r="O402" s="38" t="s">
        <v>242</v>
      </c>
      <c r="Q402" s="35"/>
      <c r="S402" s="87"/>
      <c r="T402" s="87"/>
      <c r="U402" s="87"/>
    </row>
    <row r="403" spans="1:21" ht="15.75" customHeight="1">
      <c r="C403" s="40"/>
      <c r="D403" s="93" t="str">
        <f>IF(Study_ver="",Blank,"Version: "&amp;Study_ver&amp;", ")&amp;IF(Study_date="",Blank,TEXT(Study_date,"d. mmmm åååå"))</f>
        <v/>
      </c>
      <c r="F403" s="92"/>
      <c r="G403" s="92"/>
      <c r="H403" s="92"/>
      <c r="I403" s="92"/>
      <c r="K403" s="94"/>
      <c r="M403" s="94"/>
      <c r="O403" s="94"/>
      <c r="Q403" s="35"/>
      <c r="S403" s="95"/>
      <c r="T403" s="95"/>
      <c r="U403" s="87"/>
    </row>
    <row r="404" spans="1:21" s="35" customFormat="1">
      <c r="A404" s="36"/>
      <c r="B404" s="36"/>
    </row>
    <row r="405" spans="1:21" s="35" customFormat="1"/>
    <row r="406" spans="1:21" ht="30" customHeight="1">
      <c r="A406" s="36">
        <v>0</v>
      </c>
      <c r="B406" s="36">
        <f>IF(AND(S1_stat&gt;0,S2_stat&gt;0),1,0)</f>
        <v>0</v>
      </c>
      <c r="D406" s="117" t="str">
        <f>"Calculations "&amp;IF(A406&gt;0,"Study 1",IF(B406&gt;0,"Study 2",Notype))</f>
        <v>Calculations Not current</v>
      </c>
      <c r="E406" s="159"/>
      <c r="F406" s="117"/>
      <c r="G406" s="118" t="s">
        <v>47</v>
      </c>
      <c r="H406" s="118"/>
      <c r="I406" s="119" t="s">
        <v>48</v>
      </c>
      <c r="J406" s="159"/>
      <c r="K406" s="118" t="s">
        <v>49</v>
      </c>
      <c r="L406" s="159"/>
      <c r="M406" s="119" t="s">
        <v>50</v>
      </c>
      <c r="N406" s="159"/>
      <c r="O406" s="118" t="s">
        <v>51</v>
      </c>
      <c r="Q406" s="35"/>
    </row>
    <row r="407" spans="1:21" ht="12.75" customHeight="1">
      <c r="D407" s="79"/>
      <c r="F407" s="79"/>
      <c r="G407" s="113"/>
      <c r="H407" s="113"/>
      <c r="I407" s="120"/>
      <c r="K407" s="113"/>
      <c r="M407" s="120"/>
      <c r="O407" s="113"/>
      <c r="Q407" s="35"/>
    </row>
    <row r="408" spans="1:21" s="35" customFormat="1" ht="15.75">
      <c r="A408" s="36">
        <v>0</v>
      </c>
      <c r="B408" s="36">
        <f>IF(AND(S1_stat&gt;0,S2_stat&gt;0),1,0)</f>
        <v>0</v>
      </c>
      <c r="D408" s="76" t="str">
        <f>IF(A408+B408&gt;0,"Transport expectations",Blank)</f>
        <v/>
      </c>
    </row>
    <row r="409" spans="1:21" s="35" customFormat="1" ht="12.75" customHeight="1">
      <c r="D409" s="76"/>
    </row>
    <row r="410" spans="1:21" s="35" customFormat="1">
      <c r="A410" s="36">
        <v>0</v>
      </c>
      <c r="B410" s="36">
        <f>IF(AND(S1_stat&gt;0,S2_stat&gt;0),1,0)</f>
        <v>0</v>
      </c>
      <c r="D410" s="53" t="str">
        <f>IF(A410+B410&gt;0,"Number of items shipped",Blank)</f>
        <v/>
      </c>
      <c r="G410" s="97" t="str">
        <f>IF($A410+$B410=0,Blank,IF(N(Calculation!I$15)=0,Blank,Calculation!I$15))</f>
        <v/>
      </c>
      <c r="H410" s="97"/>
      <c r="I410" s="97" t="str">
        <f>IF($A410+$B410=0,Blank,IF(N(Calculation!K$15)=0,Blank,Calculation!K$15))</f>
        <v/>
      </c>
      <c r="K410" s="97" t="str">
        <f>IF($A410+$B410=0,Blank,IF(N(Calculation!M$15)=0,Blank,Calculation!M$15))</f>
        <v/>
      </c>
      <c r="M410" s="97" t="str">
        <f>IF($A410+$B410=0,Blank,IF(N(Calculation!O$15)=0,Blank,Calculation!O$15))</f>
        <v/>
      </c>
      <c r="O410" s="97" t="str">
        <f>IF($A410+$B410=0,Blank,IF(N(Calculation!Q$15)=0,Blank,Calculation!Q$15))</f>
        <v/>
      </c>
    </row>
    <row r="411" spans="1:21" s="35" customFormat="1">
      <c r="A411" s="36">
        <v>0</v>
      </c>
      <c r="B411" s="36">
        <f>IF(AND(S1_stat&gt;0,S2_stat&gt;0),1,0)</f>
        <v>0</v>
      </c>
      <c r="D411" s="53" t="str">
        <f>IF(A411+B411&gt;0,"Growth per year",Blank)</f>
        <v/>
      </c>
      <c r="I411" s="77" t="str">
        <f>IF(OR(N(G410)=0,N(I410)=0),Blank,(I410-G410)/G410)</f>
        <v/>
      </c>
      <c r="K411" s="77" t="str">
        <f>IF(OR(N(I410)=0,N(K410)=0),Blank,(K410-I410)/I410)</f>
        <v/>
      </c>
      <c r="M411" s="77" t="str">
        <f>IF(OR(N(K410)=0,N(M410)=0),Blank,(M410-K410)/K410)</f>
        <v/>
      </c>
      <c r="O411" s="77" t="str">
        <f>IF(OR(N(M410)=0,N(O410)=0),Blank,(O410-M410)/M410)</f>
        <v/>
      </c>
    </row>
    <row r="412" spans="1:21" s="35" customFormat="1"/>
    <row r="413" spans="1:21" s="35" customFormat="1" ht="15.75">
      <c r="A413" s="36">
        <v>0</v>
      </c>
      <c r="B413" s="36">
        <f>IF(AND(S1_stat&gt;0,S2_stat&gt;0),1,0)</f>
        <v>0</v>
      </c>
      <c r="D413" s="112" t="str">
        <f>IF($A413=1,S1_type&amp;" "&amp;LOWER(S1_box)&amp;" box",IF($B413=1,S2_type&amp;" "&amp;LOWER(S2_box)&amp;" box",Blank))</f>
        <v/>
      </c>
    </row>
    <row r="414" spans="1:21" s="35" customFormat="1"/>
    <row r="415" spans="1:21" s="35" customFormat="1">
      <c r="A415" s="36">
        <v>0</v>
      </c>
      <c r="B415" s="36">
        <f>IF(AND(S1_stat&gt;0,S2_stat&gt;0),1,0)</f>
        <v>0</v>
      </c>
      <c r="D415" s="55" t="str">
        <f>IF(A415+B415&gt;0,"Items per box",Blank)</f>
        <v/>
      </c>
      <c r="G415" s="78" t="str">
        <f>IF($A415+$B415=0,Blank,IF($A415=1,Calculation!I$29,Calculation!I$69))</f>
        <v/>
      </c>
      <c r="H415" s="78"/>
      <c r="I415" s="78" t="str">
        <f>IF($A415+$B415=0,Blank,IF($A415=1,Calculation!K$29,Calculation!K$69))</f>
        <v/>
      </c>
      <c r="K415" s="78" t="str">
        <f>IF($A415+$B415=0,Blank,IF($A415=1,Calculation!M$29,Calculation!M$69))</f>
        <v/>
      </c>
      <c r="M415" s="78" t="str">
        <f>IF($A415+$B415=0,Blank,IF($A415=1,Calculation!O$29,Calculation!O$69))</f>
        <v/>
      </c>
      <c r="O415" s="78" t="str">
        <f>IF($A415+$B415=0,Blank,IF($A415=1,Calculation!Q$29,Calculation!Q$69))</f>
        <v/>
      </c>
    </row>
    <row r="416" spans="1:21" s="35" customFormat="1">
      <c r="A416" s="36">
        <v>0</v>
      </c>
      <c r="B416" s="36">
        <f>IF(AND(S1_stat&gt;0,S2_stat&gt;0),1,0)</f>
        <v>0</v>
      </c>
      <c r="D416" s="53" t="str">
        <f>IF(A416+B416&gt;0,"Boxes to be sent",Blank)</f>
        <v/>
      </c>
      <c r="G416" s="80" t="str">
        <f>IF($A416+$B416=0,Blank,IF($A416=1,Calculation!I$30,Calculation!I$70))</f>
        <v/>
      </c>
      <c r="H416" s="80"/>
      <c r="I416" s="80" t="str">
        <f>IF($A416+$B416=0,Blank,IF($A416=1,Calculation!K$30,Calculation!K$70))</f>
        <v/>
      </c>
      <c r="K416" s="80" t="str">
        <f>IF($A416+$B416=0,Blank,IF($A416=1,Calculation!M$30,Calculation!M$70))</f>
        <v/>
      </c>
      <c r="M416" s="80" t="str">
        <f>IF($A416+$B416=0,Blank,IF($A416=1,Calculation!O$30,Calculation!O$70))</f>
        <v/>
      </c>
      <c r="O416" s="80" t="str">
        <f>IF($A416+$B416=0,Blank,IF($A416=1,Calculation!Q$30,Calculation!Q$70))</f>
        <v/>
      </c>
    </row>
    <row r="417" spans="1:15" s="35" customFormat="1">
      <c r="D417" s="53"/>
      <c r="G417" s="78"/>
      <c r="H417" s="78"/>
      <c r="I417" s="78"/>
      <c r="K417" s="78"/>
      <c r="M417" s="78"/>
      <c r="O417" s="78"/>
    </row>
    <row r="418" spans="1:15" s="35" customFormat="1">
      <c r="A418" s="36">
        <v>0</v>
      </c>
      <c r="B418" s="36">
        <f>IF(AND(S1_stat&gt;0,S2_stat&gt;0),1,0)</f>
        <v>0</v>
      </c>
      <c r="D418" s="55" t="str">
        <f>IF(A418=1,"Boxes per sent "&amp;LOWER(S1_trans_send),IF(B418=1,"Boxes per sent "&amp;LOWER(S2_trans_send),Blank))</f>
        <v/>
      </c>
      <c r="G418" s="78" t="str">
        <f>IF($A418+$B418=0,Blank,IF($A418=1,Calculation!I$32,Calculation!I$72))</f>
        <v/>
      </c>
      <c r="H418" s="78"/>
      <c r="I418" s="78" t="str">
        <f>IF($A418+$B418=0,Blank,IF($A418=1,Calculation!K$32,Calculation!K$72))</f>
        <v/>
      </c>
      <c r="K418" s="78" t="str">
        <f>IF($A418+$B418=0,Blank,IF($A418=1,Calculation!M$32,Calculation!M$72))</f>
        <v/>
      </c>
      <c r="M418" s="78" t="str">
        <f>IF($A418+$B418=0,Blank,IF($A418=1,Calculation!O$32,Calculation!O$72))</f>
        <v/>
      </c>
      <c r="O418" s="78" t="str">
        <f>IF($A418+$B418=0,Blank,IF($A418=1,Calculation!Q$32,Calculation!Q$72))</f>
        <v/>
      </c>
    </row>
    <row r="419" spans="1:15" s="35" customFormat="1">
      <c r="A419" s="36">
        <v>0</v>
      </c>
      <c r="B419" s="36">
        <f>IF(AND(S1_stat&gt;0,S2_stat&gt;0),1,0)</f>
        <v>0</v>
      </c>
      <c r="D419" s="53" t="str">
        <f>IF(A419=1,S1_trans_send&amp;"s to be sent",IF(B419=1,S2_trans_send&amp;"s to be sent",Blank))</f>
        <v/>
      </c>
      <c r="G419" s="80" t="str">
        <f>IF($A419+$B419=0,Blank,IF($A419=1,Calculation!I$33,Calculation!I$73))</f>
        <v/>
      </c>
      <c r="H419" s="80"/>
      <c r="I419" s="80" t="str">
        <f>IF($A419+$B419=0,Blank,IF($A419=1,Calculation!K$33,Calculation!K$73))</f>
        <v/>
      </c>
      <c r="K419" s="80" t="str">
        <f>IF($A419+$B419=0,Blank,IF($A419=1,Calculation!M$33,Calculation!M$73))</f>
        <v/>
      </c>
      <c r="M419" s="80" t="str">
        <f>IF($A419+$B419=0,Blank,IF($A419=1,Calculation!O$33,Calculation!O$73))</f>
        <v/>
      </c>
      <c r="O419" s="80" t="str">
        <f>IF($A419+$B419=0,Blank,IF($A419=1,Calculation!Q$33,Calculation!Q$73))</f>
        <v/>
      </c>
    </row>
    <row r="420" spans="1:15" s="35" customFormat="1"/>
    <row r="421" spans="1:15" s="35" customFormat="1">
      <c r="A421" s="36">
        <v>0</v>
      </c>
      <c r="B421" s="36">
        <f>IF(AND(S1_stat&gt;0,S2_stat=1),1,0)</f>
        <v>0</v>
      </c>
      <c r="D421" s="55" t="str">
        <f>IF(A421=1,"Collapsed boxes per returned "&amp;LOWER(S1_trans_return),IF(B421=1,"Collapsed boxes per returned "&amp;LOWER(S2_trans_return),Blank))</f>
        <v/>
      </c>
      <c r="G421" s="78" t="str">
        <f>IF($A421+$B421=0,Blank,IF($A421=1,Calculation!I$35,Calculation!I$75))</f>
        <v/>
      </c>
      <c r="H421" s="78"/>
      <c r="I421" s="78" t="str">
        <f>IF($A421+$B421=0,Blank,IF($A421=1,Calculation!K$35,Calculation!K$75))</f>
        <v/>
      </c>
      <c r="K421" s="78" t="str">
        <f>IF($A421+$B421=0,Blank,IF($A421=1,Calculation!M$35,Calculation!M$75))</f>
        <v/>
      </c>
      <c r="M421" s="78" t="str">
        <f>IF($A421+$B421=0,Blank,IF($A421=1,Calculation!O$35,Calculation!O$75))</f>
        <v/>
      </c>
      <c r="O421" s="78" t="str">
        <f>IF($A421+$B421=0,Blank,IF($A421=1,Calculation!Q$35,Calculation!Q$75))</f>
        <v/>
      </c>
    </row>
    <row r="422" spans="1:15" s="35" customFormat="1">
      <c r="A422" s="36">
        <v>0</v>
      </c>
      <c r="B422" s="36">
        <f>IF(AND(S1_stat&gt;0,S2_stat=1),1,0)</f>
        <v>0</v>
      </c>
      <c r="D422" s="53" t="str">
        <f>IF(A422=1,S1_trans_return&amp;"s to be returned",IF(B422=1,S2_trans_return&amp;"s to be returned",Blank))</f>
        <v/>
      </c>
      <c r="G422" s="80" t="str">
        <f>IF($A422+$B422=0,Blank,IF($A422=1,Calculation!I$36,Calculation!I$76))</f>
        <v/>
      </c>
      <c r="H422" s="80"/>
      <c r="I422" s="80" t="str">
        <f>IF($A422+$B422=0,Blank,IF($A422=1,Calculation!K$36,Calculation!K$76))</f>
        <v/>
      </c>
      <c r="K422" s="80" t="str">
        <f>IF($A422+$B422=0,Blank,IF($A422=1,Calculation!M$36,Calculation!M$76))</f>
        <v/>
      </c>
      <c r="M422" s="80" t="str">
        <f>IF($A422+$B422=0,Blank,IF($A422=1,Calculation!O$36,Calculation!O$76))</f>
        <v/>
      </c>
      <c r="O422" s="80" t="str">
        <f>IF($A422+$B422=0,Blank,IF($A422=1,Calculation!Q$36,Calculation!Q$76))</f>
        <v/>
      </c>
    </row>
    <row r="423" spans="1:15" s="35" customFormat="1"/>
    <row r="424" spans="1:15" s="35" customFormat="1">
      <c r="A424" s="36">
        <v>0</v>
      </c>
      <c r="B424" s="36">
        <f>IF(AND(S1_stat&gt;0,S2_stat=1),1,0)</f>
        <v>0</v>
      </c>
      <c r="D424" s="82" t="str">
        <f>IF(A424=1,CHOOSE(S1_batch_method+1,"Method of batch handling missing","Awaiting batch handling;","Continuously batch handling"),IF(B424=1,CHOOSE(S2_batch_method+1,"Method of batch handling missing","Awaiting batch handling;","Continuously batch handling"),Blank))</f>
        <v/>
      </c>
    </row>
    <row r="425" spans="1:15" s="35" customFormat="1">
      <c r="A425" s="36">
        <v>0</v>
      </c>
      <c r="B425" s="36">
        <f>IF(AND(S1_stat&gt;0,S2_stat=1),1,0)</f>
        <v>0</v>
      </c>
      <c r="D425" s="82" t="str">
        <f>IF(A425=1,CHOOSE(S1_batch_method+1,Blank,"(every handling period awaits reurn boxes)","(every handling period follows by a new)"),IF(B425=1,CHOOSE(S2_batch_method+1,Blank,"(every handling period awaits reurn boxes)","(every handling period follows by a new)"),Blank))</f>
        <v/>
      </c>
    </row>
    <row r="426" spans="1:15" s="35" customFormat="1">
      <c r="D426" s="81"/>
    </row>
    <row r="427" spans="1:15" s="35" customFormat="1">
      <c r="A427" s="36">
        <v>0</v>
      </c>
      <c r="B427" s="36">
        <f>IF(AND(S1_stat&gt;0,S2_stat=1),1,0)</f>
        <v>0</v>
      </c>
      <c r="D427" s="93" t="str">
        <f>IF(A427+B427&gt;0,"Handling time at sender",Blank)</f>
        <v/>
      </c>
      <c r="G427" s="71" t="str">
        <f>IF($A427+$B427=0,Blank,IF($A427=1,Calculation!I$40,Calculation!I$80))</f>
        <v/>
      </c>
      <c r="I427" s="71" t="str">
        <f>IF($A427+$B427=0,Blank,IF($A427=1,Calculation!K$40,Calculation!K$80))</f>
        <v/>
      </c>
      <c r="K427" s="71" t="str">
        <f>IF($A427+$B427=0,Blank,IF($A427=1,Calculation!M$40,Calculation!M$80))</f>
        <v/>
      </c>
      <c r="M427" s="71" t="str">
        <f>IF($A427+$B427=0,Blank,IF($A427=1,Calculation!O$40,Calculation!O$80))</f>
        <v/>
      </c>
      <c r="O427" s="71" t="str">
        <f>IF($A427+$B427=0,Blank,IF($A427=1,Calculation!Q$40,Calculation!Q$80))</f>
        <v/>
      </c>
    </row>
    <row r="428" spans="1:15" s="35" customFormat="1">
      <c r="A428" s="36">
        <v>0</v>
      </c>
      <c r="B428" s="36">
        <f>IF(AND(S1_stat&gt;0,S2_stat=1),1,0)</f>
        <v>0</v>
      </c>
      <c r="D428" s="93" t="str">
        <f>IF(A428+B428&gt;0,"Transport to receiver",Blank)</f>
        <v/>
      </c>
      <c r="G428" s="71" t="str">
        <f>IF($A428+$B428=0,Blank,IF($A428=1,Calculation!I$41,Calculation!I$81))</f>
        <v/>
      </c>
      <c r="I428" s="71" t="str">
        <f>IF($A428+$B428=0,Blank,IF($A428=1,Calculation!K$41,Calculation!K$81))</f>
        <v/>
      </c>
      <c r="K428" s="71" t="str">
        <f>IF($A428+$B428=0,Blank,IF($A428=1,Calculation!M$41,Calculation!M$81))</f>
        <v/>
      </c>
      <c r="M428" s="71" t="str">
        <f>IF($A428+$B428=0,Blank,IF($A428=1,Calculation!O$41,Calculation!O$81))</f>
        <v/>
      </c>
      <c r="O428" s="71" t="str">
        <f>IF($A428+$B428=0,Blank,IF($A428=1,Calculation!Q$41,Calculation!Q$81))</f>
        <v/>
      </c>
    </row>
    <row r="429" spans="1:15" s="35" customFormat="1">
      <c r="A429" s="36">
        <v>0</v>
      </c>
      <c r="B429" s="36">
        <f>IF(AND(S1_stat&gt;0,S2_stat=1),1,0)</f>
        <v>0</v>
      </c>
      <c r="D429" s="93" t="str">
        <f>IF(A429+B429&gt;0,"Handling time at receiver",Blank)</f>
        <v/>
      </c>
      <c r="G429" s="71" t="str">
        <f>IF($A429+$B429=0,Blank,IF($A429=1,Calculation!I$42,Calculation!I$82))</f>
        <v/>
      </c>
      <c r="I429" s="71" t="str">
        <f>IF($A429+$B429=0,Blank,IF($A429=1,Calculation!K$42,Calculation!K$82))</f>
        <v/>
      </c>
      <c r="K429" s="71" t="str">
        <f>IF($A429+$B429=0,Blank,IF($A429=1,Calculation!M$42,Calculation!M$82))</f>
        <v/>
      </c>
      <c r="M429" s="71" t="str">
        <f>IF($A429+$B429=0,Blank,IF($A429=1,Calculation!O$42,Calculation!O$82))</f>
        <v/>
      </c>
      <c r="O429" s="71" t="str">
        <f>IF($A429+$B429=0,Blank,IF($A429=1,Calculation!Q$42,Calculation!Q$82))</f>
        <v/>
      </c>
    </row>
    <row r="430" spans="1:15" s="35" customFormat="1">
      <c r="A430" s="36">
        <v>0</v>
      </c>
      <c r="B430" s="36">
        <f>IF(AND(S1_stat&gt;0,S2_stat=1),1,0)</f>
        <v>0</v>
      </c>
      <c r="D430" s="93" t="str">
        <f>IF(A430+B430&gt;0,"Return transport to sender",Blank)</f>
        <v/>
      </c>
      <c r="G430" s="71" t="str">
        <f>IF($A430+$B430=0,Blank,IF($A430=1,Calculation!I$43,Calculation!I$83))</f>
        <v/>
      </c>
      <c r="I430" s="71" t="str">
        <f>IF($A430+$B430=0,Blank,IF($A430=1,Calculation!K$43,Calculation!K$83))</f>
        <v/>
      </c>
      <c r="K430" s="71" t="str">
        <f>IF($A430+$B430=0,Blank,IF($A430=1,Calculation!M$43,Calculation!M$83))</f>
        <v/>
      </c>
      <c r="M430" s="71" t="str">
        <f>IF($A430+$B430=0,Blank,IF($A430=1,Calculation!O$43,Calculation!O$83))</f>
        <v/>
      </c>
      <c r="O430" s="71" t="str">
        <f>IF($A430+$B430=0,Blank,IF($A430=1,Calculation!Q$43,Calculation!Q$83))</f>
        <v/>
      </c>
    </row>
    <row r="431" spans="1:15" s="35" customFormat="1">
      <c r="A431" s="36">
        <v>0</v>
      </c>
      <c r="B431" s="36">
        <f>IF(AND(S1_stat&gt;0,S2_stat=1),1,0)</f>
        <v>0</v>
      </c>
      <c r="D431" s="93" t="str">
        <f>IF(A431+B431&gt;0,"Total engaded time",Blank)</f>
        <v/>
      </c>
      <c r="G431" s="70" t="str">
        <f>IF($A431+$B431=0,Blank,IF($A431=1,Calculation!I$44,Calculation!I$84))</f>
        <v/>
      </c>
      <c r="I431" s="70" t="str">
        <f>IF($A431+$B431=0,Blank,IF($A431=1,Calculation!K$44,Calculation!K$84))</f>
        <v/>
      </c>
      <c r="K431" s="70" t="str">
        <f>IF($A431+$B431=0,Blank,IF($A431=1,Calculation!M$44,Calculation!M$84))</f>
        <v/>
      </c>
      <c r="M431" s="70" t="str">
        <f>IF($A431+$B431=0,Blank,IF($A431=1,Calculation!O$44,Calculation!O$84))</f>
        <v/>
      </c>
      <c r="O431" s="70" t="str">
        <f>IF($A431+$B431=0,Blank,IF($A431=1,Calculation!Q$44,Calculation!Q$84))</f>
        <v/>
      </c>
    </row>
    <row r="432" spans="1:15" s="35" customFormat="1">
      <c r="A432" s="36"/>
      <c r="B432" s="36"/>
      <c r="D432" s="93"/>
    </row>
    <row r="433" spans="1:15" s="35" customFormat="1">
      <c r="A433" s="36">
        <v>0</v>
      </c>
      <c r="B433" s="36">
        <f>IF(AND(S1_stat&gt;0,S2_stat=1),1,0)</f>
        <v>0</v>
      </c>
      <c r="D433" s="82" t="str">
        <f>IF(A433+B433&gt;0,"Number of handling batches",Blank)</f>
        <v/>
      </c>
      <c r="G433" s="72" t="str">
        <f>IF($A433+$B433=0,Blank,IF($A433=1,Calculation!I$46,Calculation!I$86))</f>
        <v/>
      </c>
      <c r="H433" s="83"/>
      <c r="I433" s="72" t="str">
        <f>IF($A433+$B433=0,Blank,IF($A433=1,Calculation!K$46,Calculation!K$86))</f>
        <v/>
      </c>
      <c r="K433" s="72" t="str">
        <f>IF($A433+$B433=0,Blank,IF($A433=1,Calculation!M$46,Calculation!M$86))</f>
        <v/>
      </c>
      <c r="M433" s="72" t="str">
        <f>IF($A433+$B433=0,Blank,IF($A433=1,Calculation!O$46,Calculation!O$86))</f>
        <v/>
      </c>
      <c r="O433" s="72" t="str">
        <f>IF($A433+$B433=0,Blank,IF($A433=1,Calculation!Q$46,Calculation!Q$86))</f>
        <v/>
      </c>
    </row>
    <row r="434" spans="1:15" s="35" customFormat="1">
      <c r="A434" s="36">
        <v>0</v>
      </c>
      <c r="B434" s="36">
        <f>IF(AND(S1_stat&gt;0,S2_stat=1),1,0)</f>
        <v>0</v>
      </c>
      <c r="D434" s="53" t="str">
        <f>IF(A434+B434&gt;0,"Items per handling batch",Blank)</f>
        <v/>
      </c>
      <c r="G434" s="72" t="str">
        <f>IF($A434+$B434=0,Blank,IF($A434=1,Calculation!I$47,Calculation!I$87))</f>
        <v/>
      </c>
      <c r="H434" s="83"/>
      <c r="I434" s="72" t="str">
        <f>IF($A434+$B434=0,Blank,IF($A434=1,Calculation!K$47,Calculation!K$87))</f>
        <v/>
      </c>
      <c r="K434" s="72" t="str">
        <f>IF($A434+$B434=0,Blank,IF($A434=1,Calculation!M$47,Calculation!M$87))</f>
        <v/>
      </c>
      <c r="M434" s="72" t="str">
        <f>IF($A434+$B434=0,Blank,IF($A434=1,Calculation!O$47,Calculation!O$87))</f>
        <v/>
      </c>
      <c r="O434" s="72" t="str">
        <f>IF($A434+$B434=0,Blank,IF($A434=1,Calculation!Q$47,Calculation!Q$87))</f>
        <v/>
      </c>
    </row>
    <row r="435" spans="1:15" s="35" customFormat="1">
      <c r="D435" s="82"/>
      <c r="G435" s="128"/>
      <c r="H435" s="83"/>
      <c r="I435" s="128"/>
      <c r="K435" s="128"/>
      <c r="M435" s="128"/>
      <c r="O435" s="128"/>
    </row>
    <row r="436" spans="1:15" s="35" customFormat="1">
      <c r="A436" s="36">
        <v>0</v>
      </c>
      <c r="B436" s="36">
        <f>IF(AND(S1_stat&gt;0,S2_stat=1),1,0)</f>
        <v>0</v>
      </c>
      <c r="D436" s="53" t="str">
        <f>IF(A436+B436&gt;0,"Boxes needed per handling batch",Blank)</f>
        <v/>
      </c>
      <c r="G436" s="72" t="str">
        <f>IF($A436+$B436=0,Blank,IF($A436=1,Calculation!I$49,Calculation!I$89))</f>
        <v/>
      </c>
      <c r="H436" s="83"/>
      <c r="I436" s="72" t="str">
        <f>IF($A436+$B436=0,Blank,IF($A436=1,Calculation!K$49,Calculation!K$89))</f>
        <v/>
      </c>
      <c r="K436" s="72" t="str">
        <f>IF($A436+$B436=0,Blank,IF($A436=1,Calculation!M$49,Calculation!M$89))</f>
        <v/>
      </c>
      <c r="M436" s="72" t="str">
        <f>IF($A436+$B436=0,Blank,IF($A436=1,Calculation!O$49,Calculation!O$89))</f>
        <v/>
      </c>
      <c r="O436" s="72" t="str">
        <f>IF($A436+$B436=0,Blank,IF($A436=1,Calculation!Q$49,Calculation!Q$89))</f>
        <v/>
      </c>
    </row>
    <row r="437" spans="1:15" s="35" customFormat="1">
      <c r="A437" s="36">
        <v>0</v>
      </c>
      <c r="B437" s="36">
        <f>IF(AND(S1_stat&gt;0,S2_stat=1),1,0)</f>
        <v>0</v>
      </c>
      <c r="D437" s="53" t="str">
        <f>IF(A437+B437&gt;0,"Boxes used elsewhere",Blank)</f>
        <v/>
      </c>
      <c r="G437" s="129" t="str">
        <f>IF($A437+$B437=0,Blank,IF($A437=1,Calculation!I$50,Calculation!I$90))</f>
        <v/>
      </c>
      <c r="H437" s="80"/>
      <c r="I437" s="129" t="str">
        <f>IF($A437+$B437=0,Blank,IF($A437=1,Calculation!K$50,Calculation!K$90))</f>
        <v/>
      </c>
      <c r="K437" s="129" t="str">
        <f>IF($A437+$B437=0,Blank,IF($A437=1,Calculation!M$50,Calculation!M$90))</f>
        <v/>
      </c>
      <c r="M437" s="129" t="str">
        <f>IF($A437+$B437=0,Blank,IF($A437=1,Calculation!O$50,Calculation!O$90))</f>
        <v/>
      </c>
      <c r="O437" s="129" t="str">
        <f>IF($A437+$B437=0,Blank,IF($A437=1,Calculation!Q$50,Calculation!Q$90))</f>
        <v/>
      </c>
    </row>
    <row r="438" spans="1:15" s="35" customFormat="1">
      <c r="D438" s="53"/>
      <c r="G438" s="129"/>
      <c r="H438" s="80"/>
      <c r="I438" s="129"/>
      <c r="K438" s="129"/>
      <c r="M438" s="129"/>
      <c r="O438" s="129"/>
    </row>
    <row r="439" spans="1:15" s="35" customFormat="1">
      <c r="A439" s="36">
        <v>0</v>
      </c>
      <c r="B439" s="36">
        <f>IF(AND(S1_stat&gt;0,S2_stat=1),1,0)</f>
        <v>0</v>
      </c>
      <c r="D439" s="53" t="str">
        <f>IF(A439=1,S1_trans_send&amp;"s to be sent per handling",IF(B439=1,S2_trans_send&amp;"s to be sent per handling",Blank))</f>
        <v/>
      </c>
      <c r="G439" s="72" t="str">
        <f>IF($A439+$B439=0,Blank,IF($A439=1,Calculation!I$52,Calculation!I$92))</f>
        <v/>
      </c>
      <c r="H439" s="83"/>
      <c r="I439" s="72" t="str">
        <f>IF($A439+$B439=0,Blank,IF($A439=1,Calculation!K$52,Calculation!K$92))</f>
        <v/>
      </c>
      <c r="K439" s="72" t="str">
        <f>IF($A439+$B439=0,Blank,IF($A439=1,Calculation!M$52,Calculation!M$92))</f>
        <v/>
      </c>
      <c r="M439" s="72" t="str">
        <f>IF($A439+$B439=0,Blank,IF($A439=1,Calculation!O$52,Calculation!O$92))</f>
        <v/>
      </c>
      <c r="O439" s="72" t="str">
        <f>IF($A439+$B439=0,Blank,IF($A439=1,Calculation!Q$49,Calculation!Q$89))</f>
        <v/>
      </c>
    </row>
    <row r="440" spans="1:15" s="35" customFormat="1">
      <c r="A440" s="36">
        <v>0</v>
      </c>
      <c r="B440" s="36">
        <f>IF(AND(S1_stat&gt;0,S2_stat=1),1,0)</f>
        <v>0</v>
      </c>
      <c r="D440" s="53" t="str">
        <f>IF(A440=1,"batch",IF(B440=1,"batch",Blank))</f>
        <v/>
      </c>
      <c r="G440" s="72"/>
      <c r="H440" s="83"/>
      <c r="I440" s="72"/>
      <c r="K440" s="72"/>
      <c r="M440" s="72"/>
      <c r="O440" s="72" t="str">
        <f>IF($A440+$B440=0,Blank,IF($A440=1,Calculation!Q$49,Calculation!Q$89))</f>
        <v/>
      </c>
    </row>
    <row r="441" spans="1:15" s="35" customFormat="1">
      <c r="D441" s="53"/>
      <c r="G441" s="129"/>
      <c r="H441" s="80"/>
      <c r="I441" s="129"/>
      <c r="K441" s="129"/>
      <c r="M441" s="129"/>
      <c r="O441" s="129"/>
    </row>
    <row r="442" spans="1:15" s="35" customFormat="1">
      <c r="A442" s="36">
        <v>0</v>
      </c>
      <c r="B442" s="36">
        <f>IF(AND(S1_stat&gt;0,S2_stat&gt;0),1,0)</f>
        <v>0</v>
      </c>
      <c r="D442" s="53" t="str">
        <f>IF(A442+B442&gt;0,"Boxes to purchase/lease",Blank)</f>
        <v/>
      </c>
      <c r="G442" s="129" t="str">
        <f>IF($A442+$B442=0,Blank,IF($A442=1,Calculation!I$54,Calculation!I$94))</f>
        <v/>
      </c>
      <c r="H442" s="80"/>
      <c r="I442" s="129" t="str">
        <f>IF($A442+$B442=0,Blank,IF($A442=1,Calculation!K$54,Calculation!K$94))</f>
        <v/>
      </c>
      <c r="K442" s="129" t="str">
        <f>IF($A442+$B442=0,Blank,IF($A442=1,Calculation!M$54,Calculation!M$94))</f>
        <v/>
      </c>
      <c r="M442" s="129" t="str">
        <f>IF($A442+$B442=0,Blank,IF($A442=1,Calculation!O$54,Calculation!O$94))</f>
        <v/>
      </c>
      <c r="O442" s="129" t="str">
        <f>IF($A442+$B442=0,Blank,IF($A442=1,Calculation!Q$54,Calculation!Q$94))</f>
        <v/>
      </c>
    </row>
    <row r="443" spans="1:15" s="35" customFormat="1">
      <c r="A443" s="36">
        <v>0</v>
      </c>
      <c r="B443" s="36">
        <f>IF(AND(S1_stat&gt;0,S2_stat&gt;0),1,0)</f>
        <v>0</v>
      </c>
      <c r="D443" s="53" t="str">
        <f>IF(A443+B443&gt;0,"Boxes in circulation",Blank)</f>
        <v/>
      </c>
      <c r="G443" s="129" t="str">
        <f>IF($A443+$B443=0,Blank,IF($A443=1,Calculation!I$55,Calculation!I$95))</f>
        <v/>
      </c>
      <c r="H443" s="80"/>
      <c r="I443" s="129" t="str">
        <f>IF($A443+$B443=0,Blank,IF($A443=1,Calculation!K$55,Calculation!K$95))</f>
        <v/>
      </c>
      <c r="K443" s="129" t="str">
        <f>IF($A443+$B443=0,Blank,IF($A443=1,Calculation!M$55,Calculation!M$95))</f>
        <v/>
      </c>
      <c r="M443" s="129" t="str">
        <f>IF($A443+$B443=0,Blank,IF($A443=1,Calculation!O$55,Calculation!O$95))</f>
        <v/>
      </c>
      <c r="O443" s="129" t="str">
        <f>IF($A443+$B443=0,Blank,IF($A443=1,Calculation!Q$55,Calculation!Q$95))</f>
        <v/>
      </c>
    </row>
    <row r="444" spans="1:15" s="35" customFormat="1">
      <c r="D444" s="53"/>
      <c r="G444" s="80"/>
      <c r="H444" s="80"/>
      <c r="I444" s="80"/>
      <c r="K444" s="80"/>
      <c r="M444" s="80"/>
      <c r="O444" s="80"/>
    </row>
    <row r="445" spans="1:15" s="35" customFormat="1">
      <c r="A445" s="36">
        <v>0</v>
      </c>
      <c r="B445" s="36">
        <f>IF(AND(S1_stat&gt;0,S2_stat&gt;0),1,0)</f>
        <v>0</v>
      </c>
      <c r="D445" s="81" t="str">
        <f>IF(A445+B445&gt;0,"Cost in "&amp;Currency&amp;":",Blank)</f>
        <v/>
      </c>
      <c r="G445" s="80"/>
      <c r="H445" s="80"/>
      <c r="I445" s="80"/>
      <c r="K445" s="80"/>
      <c r="M445" s="80"/>
      <c r="O445" s="80"/>
    </row>
    <row r="446" spans="1:15" s="35" customFormat="1">
      <c r="A446" s="36">
        <v>0</v>
      </c>
      <c r="B446" s="36">
        <f>IF(AND(S1_stat&gt;0,S2_stat&gt;0),1,0)</f>
        <v>0</v>
      </c>
      <c r="D446" s="53" t="str">
        <f>IF(A446+B446&gt;0,"Cost boxes",Blank)</f>
        <v/>
      </c>
      <c r="G446" s="78" t="str">
        <f>IF($A446+$B446=0,Blank,IF($A446=1,Calculation!I$57,Calculation!I$97))</f>
        <v/>
      </c>
      <c r="H446" s="78"/>
      <c r="I446" s="78" t="str">
        <f>IF($A446+$B446=0,Blank,IF($A446=1,Calculation!K$57,Calculation!K$97))</f>
        <v/>
      </c>
      <c r="K446" s="78" t="str">
        <f>IF($A446+$B446=0,Blank,IF($A446=1,Calculation!M$57,Calculation!M$97))</f>
        <v/>
      </c>
      <c r="M446" s="78" t="str">
        <f>IF($A446+$B446=0,Blank,IF($A446=1,Calculation!O$57,Calculation!O$97))</f>
        <v/>
      </c>
      <c r="O446" s="78" t="str">
        <f>IF($A446+$B446=0,Blank,IF($A446=1,Calculation!Q$57,Calculation!Q$97))</f>
        <v/>
      </c>
    </row>
    <row r="447" spans="1:15" s="35" customFormat="1">
      <c r="A447" s="36">
        <v>0</v>
      </c>
      <c r="B447" s="36">
        <f>IF(AND(S1_stat&gt;0,S2_stat=1),1,0)</f>
        <v>0</v>
      </c>
      <c r="D447" s="55" t="str">
        <f>IF(A447+B447&gt;0,"Cost maintenance",IF(OR(S1_stat=0,S2_stat=0),Blank,Notype))</f>
        <v/>
      </c>
      <c r="G447" s="78" t="str">
        <f>IF($A447+$B447=0,Blank,IF($A447=1,Calculation!I$58,Calculation!I$98))</f>
        <v/>
      </c>
      <c r="H447" s="78"/>
      <c r="I447" s="78" t="str">
        <f>IF($A447+$B447=0,Blank,IF($A447=1,Calculation!K$58,Calculation!K$98))</f>
        <v/>
      </c>
      <c r="K447" s="78" t="str">
        <f>IF($A447+$B447=0,Blank,IF($A447=1,Calculation!M$58,Calculation!M$98))</f>
        <v/>
      </c>
      <c r="M447" s="78" t="str">
        <f>IF($A447+$B447=0,Blank,IF($A447=1,Calculation!O$58,Calculation!O$98))</f>
        <v/>
      </c>
      <c r="O447" s="78" t="str">
        <f>IF($A447+$B447=0,Blank,IF($A447=1,Calculation!Q$58,Calculation!Q$98))</f>
        <v/>
      </c>
    </row>
    <row r="448" spans="1:15" s="35" customFormat="1">
      <c r="A448" s="36">
        <v>0</v>
      </c>
      <c r="B448" s="36">
        <f>IF(AND(S1_stat&gt;0,S2_stat&gt;0),1,0)</f>
        <v>0</v>
      </c>
      <c r="D448" s="55" t="str">
        <f>IF(A448+B448&gt;0,"Cost damage",Blank)</f>
        <v/>
      </c>
      <c r="G448" s="78" t="str">
        <f>IF($A448+$B448=0,Blank,IF($A448=1,Calculation!I$59,Calculation!I$99))</f>
        <v/>
      </c>
      <c r="H448" s="78"/>
      <c r="I448" s="78" t="str">
        <f>IF($A448+$B448=0,Blank,IF($A448=1,Calculation!K$59,Calculation!K$99))</f>
        <v/>
      </c>
      <c r="K448" s="78" t="str">
        <f>IF($A448+$B448=0,Blank,IF($A448=1,Calculation!M$59,Calculation!M$99))</f>
        <v/>
      </c>
      <c r="M448" s="78" t="str">
        <f>IF($A448+$B448=0,Blank,IF($A448=1,Calculation!O$59,Calculation!O$99))</f>
        <v/>
      </c>
      <c r="O448" s="78" t="str">
        <f>IF($A448+$B448=0,Blank,IF($A448=1,Calculation!Q$59,Calculation!Q$99))</f>
        <v/>
      </c>
    </row>
    <row r="449" spans="1:17" s="35" customFormat="1">
      <c r="A449" s="36">
        <v>0</v>
      </c>
      <c r="B449" s="36">
        <f>IF(AND(S1_stat&gt;0,S2_stat&gt;0),1,0)</f>
        <v>0</v>
      </c>
      <c r="D449" s="55" t="str">
        <f>IF(A449+B449&gt;0,"Cost assembly",Blank)</f>
        <v/>
      </c>
      <c r="G449" s="78" t="str">
        <f>IF($A449+$B449=0,Blank,IF($A449=1,Calculation!I$60,Calculation!I$100))</f>
        <v/>
      </c>
      <c r="H449" s="78"/>
      <c r="I449" s="78" t="str">
        <f>IF($A449+$B449=0,Blank,IF($A449=1,Calculation!K$60,Calculation!K$100))</f>
        <v/>
      </c>
      <c r="K449" s="78" t="str">
        <f>IF($A449+$B449=0,Blank,IF($A449=1,Calculation!M$60,Calculation!M$100))</f>
        <v/>
      </c>
      <c r="M449" s="78" t="str">
        <f>IF($A449+$B449=0,Blank,IF($A449=1,Calculation!O$60,Calculation!O$100))</f>
        <v/>
      </c>
      <c r="O449" s="78" t="str">
        <f>IF($A449+$B449=0,Blank,IF($A449=1,Calculation!Q$60,Calculation!Q$100))</f>
        <v/>
      </c>
    </row>
    <row r="450" spans="1:17" s="35" customFormat="1">
      <c r="A450" s="36">
        <v>0</v>
      </c>
      <c r="B450" s="36">
        <f>IF(AND(S1_stat&gt;0,S2_stat&gt;0),1,0)</f>
        <v>0</v>
      </c>
      <c r="D450" s="55" t="str">
        <f>IF(A450+B450&gt;0,"Cost transport sending",Blank)</f>
        <v/>
      </c>
      <c r="G450" s="78" t="str">
        <f>IF($A450+$B450=0,Blank,IF($A450=1,Calculation!I$61,Calculation!I$101))</f>
        <v/>
      </c>
      <c r="H450" s="78"/>
      <c r="I450" s="78" t="str">
        <f>IF($A450+$B450=0,Blank,IF($A450=1,Calculation!K$61,Calculation!K$101))</f>
        <v/>
      </c>
      <c r="K450" s="78" t="str">
        <f>IF($A450+$B450=0,Blank,IF($A450=1,Calculation!M$61,Calculation!M$101))</f>
        <v/>
      </c>
      <c r="M450" s="78" t="str">
        <f>IF($A450+$B450=0,Blank,IF($A450=1,Calculation!O$61,Calculation!O$101))</f>
        <v/>
      </c>
      <c r="O450" s="78" t="str">
        <f>IF($A450+$B450=0,Blank,IF($A450=1,Calculation!Q$61,Calculation!Q$101))</f>
        <v/>
      </c>
    </row>
    <row r="451" spans="1:17" s="35" customFormat="1">
      <c r="A451" s="36">
        <v>0</v>
      </c>
      <c r="B451" s="36">
        <f>IF(AND(S1_stat&gt;0,S2_stat=1),1,0)</f>
        <v>0</v>
      </c>
      <c r="D451" s="55" t="str">
        <f>IF(A451+B451&gt;0,"Cost transport return",IF(OR(S1_stat=0,S2_stat=0),Blank,Notype))</f>
        <v/>
      </c>
      <c r="G451" s="78" t="str">
        <f>IF($A451+$B451=0,Blank,IF($A451=1,Calculation!I$62,Calculation!I$102))</f>
        <v/>
      </c>
      <c r="H451" s="78"/>
      <c r="I451" s="78" t="str">
        <f>IF($A451+$B451=0,Blank,IF($A451=1,Calculation!K$62,Calculation!K$102))</f>
        <v/>
      </c>
      <c r="K451" s="78" t="str">
        <f>IF($A451+$B451=0,Blank,IF($A451=1,Calculation!M$62,Calculation!M$102))</f>
        <v/>
      </c>
      <c r="M451" s="78" t="str">
        <f>IF($A451+$B451=0,Blank,IF($A451=1,Calculation!O$62,Calculation!O$102))</f>
        <v/>
      </c>
      <c r="O451" s="78" t="str">
        <f>IF($A451+$B451=0,Blank,IF($A451=1,Calculation!Q$62,Calculation!Q$102))</f>
        <v/>
      </c>
    </row>
    <row r="452" spans="1:17" s="35" customFormat="1">
      <c r="A452" s="36">
        <v>0</v>
      </c>
      <c r="B452" s="36">
        <f>IF(AND(S1_stat&gt;0,S2_stat&gt;0),1,0)</f>
        <v>0</v>
      </c>
      <c r="D452" s="55" t="str">
        <f>IF(A452+B452&gt;0,"Cost total",Blank)</f>
        <v/>
      </c>
      <c r="G452" s="84" t="str">
        <f>IF($A452+$B452=0,Blank,IF($A452=1,Calculation!I$63,Calculation!I$103))</f>
        <v/>
      </c>
      <c r="H452" s="84"/>
      <c r="I452" s="84" t="str">
        <f>IF($A452+$B452=0,Blank,IF($A452=1,Calculation!K$63,Calculation!K$103))</f>
        <v/>
      </c>
      <c r="K452" s="84" t="str">
        <f>IF($A452+$B452=0,Blank,IF($A452=1,Calculation!M$63,Calculation!M$103))</f>
        <v/>
      </c>
      <c r="M452" s="84" t="str">
        <f>IF($A452+$B452=0,Blank,IF($A452=1,Calculation!O$63,Calculation!O$103))</f>
        <v/>
      </c>
      <c r="O452" s="84" t="str">
        <f>IF($A452+$B452=0,Blank,IF($A452=1,Calculation!Q$63,Calculation!Q$103))</f>
        <v/>
      </c>
    </row>
    <row r="453" spans="1:17" s="35" customFormat="1">
      <c r="A453" s="36">
        <v>0</v>
      </c>
      <c r="B453" s="36">
        <f>IF(AND(S1_stat&gt;0,S2_stat&gt;0),1,0)</f>
        <v>0</v>
      </c>
      <c r="D453" s="55" t="str">
        <f>IF(A453+B453&gt;0,"Cost total accumulated",Blank)</f>
        <v/>
      </c>
      <c r="G453" s="78" t="str">
        <f>IF($A453+$B453=0,Blank,IF($A453=1,Calculation!I$64,Calculation!I$104))</f>
        <v/>
      </c>
      <c r="H453" s="78"/>
      <c r="I453" s="78" t="str">
        <f>IF($A453+$B453=0,Blank,IF($A453=1,Calculation!K$64,Calculation!K$104))</f>
        <v/>
      </c>
      <c r="K453" s="78" t="str">
        <f>IF($A453+$B453=0,Blank,IF($A453=1,Calculation!M$64,Calculation!M$104))</f>
        <v/>
      </c>
      <c r="M453" s="78" t="str">
        <f>IF($A453+$B453=0,Blank,IF($A453=1,Calculation!O$64,Calculation!O$104))</f>
        <v/>
      </c>
      <c r="O453" s="78" t="str">
        <f>IF($A453+$B453=0,Blank,IF($A453=1,Calculation!Q$64,Calculation!Q$104))</f>
        <v/>
      </c>
    </row>
    <row r="454" spans="1:17">
      <c r="E454" s="40"/>
      <c r="Q454" s="35"/>
    </row>
    <row r="455" spans="1:17">
      <c r="E455" s="40"/>
      <c r="Q455" s="35"/>
    </row>
    <row r="456" spans="1:17">
      <c r="Q456" s="35"/>
    </row>
    <row r="457" spans="1:17">
      <c r="Q457" s="35"/>
    </row>
  </sheetData>
  <sheetProtection password="C861" sheet="1" objects="1" scenarios="1" selectLockedCells="1" selectUnlockedCells="1"/>
  <mergeCells count="28">
    <mergeCell ref="D312:I313"/>
    <mergeCell ref="D19:O19"/>
    <mergeCell ref="D22:O22"/>
    <mergeCell ref="D24:O24"/>
    <mergeCell ref="D28:O28"/>
    <mergeCell ref="D30:O30"/>
    <mergeCell ref="D37:O37"/>
    <mergeCell ref="D40:O40"/>
    <mergeCell ref="K277:K279"/>
    <mergeCell ref="K281:K282"/>
    <mergeCell ref="D46:O46"/>
    <mergeCell ref="D47:O47"/>
    <mergeCell ref="D49:O49"/>
    <mergeCell ref="K236:K238"/>
    <mergeCell ref="M236:M238"/>
    <mergeCell ref="D230:G231"/>
    <mergeCell ref="D15:O15"/>
    <mergeCell ref="K240:K241"/>
    <mergeCell ref="M240:M241"/>
    <mergeCell ref="M281:M282"/>
    <mergeCell ref="M277:M279"/>
    <mergeCell ref="D271:J272"/>
    <mergeCell ref="D41:O41"/>
    <mergeCell ref="D42:O42"/>
    <mergeCell ref="D43:O43"/>
    <mergeCell ref="D44:O44"/>
    <mergeCell ref="D201:H202"/>
    <mergeCell ref="D162:F163"/>
  </mergeCells>
  <phoneticPr fontId="2" type="noConversion"/>
  <conditionalFormatting sqref="O452 G452:I452 K452 M452 K397 M376 M397 K376 I376 O376 G376 O431 G431 O397 G397:I397 M431 K431 I431 K335 M335 M303 K303 K216 M216 K262 M262 G116 G129 I116 I129 K116 K129 M116 M129 O116 O129 K192 M192">
    <cfRule type="cellIs" dxfId="0" priority="1" stopIfTrue="1" operator="equal">
      <formula>Blank</formula>
    </cfRule>
  </conditionalFormatting>
  <printOptions horizontalCentered="1"/>
  <pageMargins left="0.74803149606299213" right="0.37" top="0.59055118110236227" bottom="0.41" header="0.51181102362204722" footer="0.31"/>
  <pageSetup paperSize="9" orientation="portrait" verticalDpi="1200" r:id="rId1"/>
  <headerFooter alignWithMargins="0"/>
  <rowBreaks count="9" manualBreakCount="9">
    <brk id="50" max="16383" man="1"/>
    <brk id="97" max="16383" man="1"/>
    <brk id="156" max="16383" man="1"/>
    <brk id="195" max="16383" man="1"/>
    <brk id="224" max="16383" man="1"/>
    <brk id="265" max="16383" man="1"/>
    <brk id="306" max="16383" man="1"/>
    <brk id="345" max="16383" man="1"/>
    <brk id="40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7"/>
  <sheetViews>
    <sheetView workbookViewId="0"/>
  </sheetViews>
  <sheetFormatPr defaultRowHeight="12.75"/>
  <cols>
    <col min="1" max="1" width="20.140625" customWidth="1"/>
    <col min="2" max="2" width="11.42578125" customWidth="1"/>
  </cols>
  <sheetData>
    <row r="2" spans="1:2" ht="15.75">
      <c r="A2" s="15" t="s">
        <v>86</v>
      </c>
    </row>
    <row r="4" spans="1:2">
      <c r="A4" s="187" t="s">
        <v>268</v>
      </c>
      <c r="B4" t="s">
        <v>82</v>
      </c>
    </row>
    <row r="5" spans="1:2">
      <c r="A5" t="s">
        <v>180</v>
      </c>
      <c r="B5" s="194">
        <f>IF(OR(AND(S1_stat=1,S2_stat=1),AND(S1_stat=1,S2_stat=2),AND(S1_stat=2,S2_stat=1)),10,IF(OR(AND(S1_stat=1,S2_stat=0),AND(S1_stat=0,S2_stat=1)),9,IF(OR(AND(S1_stat=2,S2_stat=0),AND(S1_stat=0,S2_stat=2)),7,7)))</f>
        <v>7</v>
      </c>
    </row>
    <row r="6" spans="1:2">
      <c r="A6" t="s">
        <v>178</v>
      </c>
      <c r="B6" t="str">
        <f>""</f>
        <v/>
      </c>
    </row>
    <row r="7" spans="1:2">
      <c r="A7" s="193" t="s">
        <v>331</v>
      </c>
      <c r="B7" t="str">
        <f>IF(Setup!C29="Metric system","MS","EAS")</f>
        <v>MS</v>
      </c>
    </row>
  </sheetData>
  <sheetProtection password="C861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A2" sqref="A2"/>
    </sheetView>
  </sheetViews>
  <sheetFormatPr defaultRowHeight="12.75"/>
  <cols>
    <col min="1" max="1" width="21" customWidth="1"/>
    <col min="2" max="7" width="10.7109375" customWidth="1"/>
    <col min="8" max="9" width="10.7109375" style="19" customWidth="1"/>
  </cols>
  <sheetData>
    <row r="2" spans="1:10" ht="15.75">
      <c r="A2" s="15" t="s">
        <v>85</v>
      </c>
    </row>
    <row r="4" spans="1:10">
      <c r="A4" s="31"/>
      <c r="B4" s="216" t="s">
        <v>161</v>
      </c>
      <c r="C4" s="216"/>
      <c r="D4" s="216"/>
      <c r="E4" s="216" t="s">
        <v>162</v>
      </c>
      <c r="F4" s="216"/>
      <c r="G4" s="216"/>
      <c r="H4" s="33" t="s">
        <v>170</v>
      </c>
      <c r="I4" s="33" t="s">
        <v>171</v>
      </c>
      <c r="J4" s="33" t="s">
        <v>12</v>
      </c>
    </row>
    <row r="5" spans="1:10">
      <c r="A5" s="29"/>
      <c r="B5" s="30" t="s">
        <v>133</v>
      </c>
      <c r="C5" s="30" t="s">
        <v>134</v>
      </c>
      <c r="D5" s="30" t="s">
        <v>135</v>
      </c>
      <c r="E5" s="30" t="s">
        <v>133</v>
      </c>
      <c r="F5" s="30" t="s">
        <v>134</v>
      </c>
      <c r="G5" s="30" t="s">
        <v>135</v>
      </c>
      <c r="H5" s="32" t="s">
        <v>9</v>
      </c>
      <c r="I5" s="32" t="s">
        <v>9</v>
      </c>
      <c r="J5" s="32" t="s">
        <v>9</v>
      </c>
    </row>
    <row r="6" spans="1:10">
      <c r="A6" t="s">
        <v>165</v>
      </c>
      <c r="B6" s="5">
        <v>2991</v>
      </c>
      <c r="C6" s="5">
        <v>2438</v>
      </c>
      <c r="D6" s="5">
        <v>2591</v>
      </c>
      <c r="E6" s="5">
        <v>2830</v>
      </c>
      <c r="F6" s="5">
        <v>2330</v>
      </c>
      <c r="G6" s="5">
        <v>2390</v>
      </c>
      <c r="H6" s="19">
        <f t="shared" ref="H6:H14" si="0">+E6*F6*G6/1000/1000/1000</f>
        <v>15.759421</v>
      </c>
      <c r="I6" s="19">
        <v>15.8</v>
      </c>
      <c r="J6" s="19">
        <f>+H6-I6</f>
        <v>-4.0579000000001031E-2</v>
      </c>
    </row>
    <row r="7" spans="1:10">
      <c r="A7" t="s">
        <v>166</v>
      </c>
      <c r="B7" s="5">
        <v>6058</v>
      </c>
      <c r="C7" s="5">
        <v>2438</v>
      </c>
      <c r="D7" s="5">
        <v>2591</v>
      </c>
      <c r="E7" s="5">
        <v>5900</v>
      </c>
      <c r="F7" s="5">
        <v>2330</v>
      </c>
      <c r="G7" s="5">
        <v>2380</v>
      </c>
      <c r="H7" s="19">
        <f t="shared" si="0"/>
        <v>32.717860000000002</v>
      </c>
      <c r="I7" s="19">
        <v>32.700000000000003</v>
      </c>
      <c r="J7" s="19">
        <f t="shared" ref="J7:J13" si="1">+H7-I7</f>
        <v>1.7859999999998877E-2</v>
      </c>
    </row>
    <row r="8" spans="1:10">
      <c r="A8" t="s">
        <v>167</v>
      </c>
      <c r="B8" s="5">
        <v>6058</v>
      </c>
      <c r="C8" s="5">
        <v>2438</v>
      </c>
      <c r="D8" s="5">
        <v>2891</v>
      </c>
      <c r="E8" s="5">
        <v>5898</v>
      </c>
      <c r="F8" s="5">
        <v>2350</v>
      </c>
      <c r="G8" s="5">
        <v>2692</v>
      </c>
      <c r="H8" s="19">
        <f t="shared" si="0"/>
        <v>37.311927600000004</v>
      </c>
      <c r="I8" s="19">
        <v>37.299999999999997</v>
      </c>
      <c r="J8" s="19">
        <f t="shared" si="1"/>
        <v>1.1927600000007033E-2</v>
      </c>
    </row>
    <row r="9" spans="1:10">
      <c r="A9" t="s">
        <v>168</v>
      </c>
      <c r="B9" s="5">
        <v>12192</v>
      </c>
      <c r="C9" s="5">
        <v>2438</v>
      </c>
      <c r="D9" s="5">
        <v>2591</v>
      </c>
      <c r="E9" s="5">
        <v>12021</v>
      </c>
      <c r="F9" s="5">
        <v>2330</v>
      </c>
      <c r="G9" s="5">
        <v>2370</v>
      </c>
      <c r="H9" s="19">
        <f t="shared" si="0"/>
        <v>66.381164099999992</v>
      </c>
      <c r="I9" s="19">
        <v>66.400000000000006</v>
      </c>
      <c r="J9" s="19">
        <f t="shared" si="1"/>
        <v>-1.8835900000013339E-2</v>
      </c>
    </row>
    <row r="10" spans="1:10">
      <c r="A10" t="s">
        <v>224</v>
      </c>
      <c r="B10" s="5">
        <v>12192</v>
      </c>
      <c r="C10" s="5">
        <v>2438</v>
      </c>
      <c r="D10" s="5">
        <v>2891</v>
      </c>
      <c r="E10" s="5">
        <v>12021</v>
      </c>
      <c r="F10" s="5">
        <v>2330</v>
      </c>
      <c r="G10" s="5">
        <v>2690</v>
      </c>
      <c r="H10" s="19">
        <f t="shared" si="0"/>
        <v>75.344021699999999</v>
      </c>
      <c r="I10" s="19">
        <v>75.3</v>
      </c>
      <c r="J10" s="19">
        <f t="shared" si="1"/>
        <v>4.4021700000001829E-2</v>
      </c>
    </row>
    <row r="11" spans="1:10">
      <c r="A11" t="s">
        <v>163</v>
      </c>
      <c r="B11" s="180" t="s">
        <v>169</v>
      </c>
      <c r="C11" s="180" t="s">
        <v>169</v>
      </c>
      <c r="D11" s="180" t="s">
        <v>169</v>
      </c>
      <c r="E11" s="5">
        <f>ROUND((27*0.3048*1000)+(3*2.54*10),0)</f>
        <v>8306</v>
      </c>
      <c r="F11" s="5">
        <f>ROUND((0*0.3048*1000)+(100*2.54*10),0)</f>
        <v>2540</v>
      </c>
      <c r="G11" s="5">
        <f>ROUND((0*0.3048*1000)+(107.2*2.54*10),0)</f>
        <v>2723</v>
      </c>
      <c r="H11" s="19">
        <f t="shared" si="0"/>
        <v>57.447784519999999</v>
      </c>
      <c r="I11" s="19">
        <f>2029*28.317/1000</f>
        <v>57.455193000000001</v>
      </c>
      <c r="J11" s="19">
        <f t="shared" si="1"/>
        <v>-7.408480000002271E-3</v>
      </c>
    </row>
    <row r="12" spans="1:10">
      <c r="A12" t="s">
        <v>164</v>
      </c>
      <c r="B12" s="180" t="s">
        <v>169</v>
      </c>
      <c r="C12" s="180" t="s">
        <v>169</v>
      </c>
      <c r="D12" s="180" t="s">
        <v>169</v>
      </c>
      <c r="E12" s="5">
        <f>ROUND((44*0.3048*1000)+(1.5*2.54*10),0)</f>
        <v>13449</v>
      </c>
      <c r="F12" s="5">
        <f>ROUND((0*0.3048*1000)+(93*2.54*10),0)</f>
        <v>2362</v>
      </c>
      <c r="G12" s="5">
        <f>ROUND((0*0.3048*1000)+(108.2*2.54*10),0)</f>
        <v>2748</v>
      </c>
      <c r="H12" s="19">
        <f t="shared" si="0"/>
        <v>87.294446424</v>
      </c>
      <c r="I12" s="19">
        <f>3083*28.317/1000</f>
        <v>87.301310999999998</v>
      </c>
      <c r="J12" s="19">
        <f t="shared" si="1"/>
        <v>-6.8645759999981237E-3</v>
      </c>
    </row>
    <row r="13" spans="1:10">
      <c r="A13" s="133" t="s">
        <v>182</v>
      </c>
      <c r="B13" s="181" t="s">
        <v>169</v>
      </c>
      <c r="C13" s="181" t="s">
        <v>169</v>
      </c>
      <c r="D13" s="181" t="s">
        <v>169</v>
      </c>
      <c r="E13" s="182">
        <f>ROUND((47*0.3048*1000)+(3*2.54*10),0)</f>
        <v>14402</v>
      </c>
      <c r="F13" s="182">
        <f>ROUND((0*0.3048*1000)+(99*2.54*10),0)</f>
        <v>2515</v>
      </c>
      <c r="G13" s="182">
        <f>ROUND((0*0.3048*1000)+(109.7*2.54*10),0)</f>
        <v>2786</v>
      </c>
      <c r="H13" s="134">
        <f t="shared" si="0"/>
        <v>100.91178957999999</v>
      </c>
      <c r="I13" s="134">
        <f>3566*28.317/1000</f>
        <v>100.97842200000001</v>
      </c>
      <c r="J13" s="134">
        <f t="shared" si="1"/>
        <v>-6.663242000001901E-2</v>
      </c>
    </row>
    <row r="14" spans="1:10">
      <c r="A14" s="185" t="s">
        <v>181</v>
      </c>
      <c r="B14" s="181" t="s">
        <v>169</v>
      </c>
      <c r="C14" s="181" t="s">
        <v>169</v>
      </c>
      <c r="D14" s="181" t="s">
        <v>169</v>
      </c>
      <c r="E14" s="182">
        <v>13600</v>
      </c>
      <c r="F14" s="182">
        <v>2450</v>
      </c>
      <c r="G14" s="182">
        <v>2450</v>
      </c>
      <c r="H14" s="134">
        <f t="shared" si="0"/>
        <v>81.634</v>
      </c>
      <c r="I14" s="134"/>
      <c r="J14" s="133"/>
    </row>
    <row r="15" spans="1:10">
      <c r="A15" s="186" t="s">
        <v>114</v>
      </c>
      <c r="B15" s="183" t="s">
        <v>169</v>
      </c>
      <c r="C15" s="183" t="s">
        <v>169</v>
      </c>
      <c r="D15" s="183" t="s">
        <v>169</v>
      </c>
      <c r="E15" s="29"/>
      <c r="F15" s="29"/>
      <c r="G15" s="29"/>
      <c r="H15" s="34"/>
      <c r="I15" s="34"/>
      <c r="J15" s="29"/>
    </row>
  </sheetData>
  <sheetProtection password="C861" sheet="1" objects="1" scenarios="1"/>
  <mergeCells count="2">
    <mergeCell ref="E4:G4"/>
    <mergeCell ref="B4:D4"/>
  </mergeCells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1"/>
  <sheetViews>
    <sheetView workbookViewId="0"/>
  </sheetViews>
  <sheetFormatPr defaultRowHeight="12.75"/>
  <cols>
    <col min="1" max="1" width="38" customWidth="1"/>
    <col min="2" max="2" width="6.7109375" customWidth="1"/>
    <col min="3" max="3" width="9" customWidth="1"/>
    <col min="4" max="6" width="3.42578125" customWidth="1"/>
    <col min="7" max="7" width="32.85546875" customWidth="1"/>
    <col min="8" max="8" width="5.140625" customWidth="1"/>
    <col min="9" max="9" width="8.42578125" customWidth="1"/>
    <col min="10" max="10" width="12" bestFit="1" customWidth="1"/>
  </cols>
  <sheetData>
    <row r="1" spans="1:6" ht="15.75">
      <c r="A1" s="15" t="s">
        <v>72</v>
      </c>
    </row>
    <row r="3" spans="1:6">
      <c r="A3" s="10" t="s">
        <v>46</v>
      </c>
    </row>
    <row r="5" spans="1:6">
      <c r="A5" s="13" t="str">
        <f>S2_type&amp;" "&amp;LOWER(S2_box)&amp;" box"</f>
        <v xml:space="preserve">  box</v>
      </c>
    </row>
    <row r="6" spans="1:6">
      <c r="A6" s="4" t="s">
        <v>3</v>
      </c>
      <c r="B6" s="40" t="str">
        <f>IF(Measure="MS","mm","inch")</f>
        <v>mm</v>
      </c>
      <c r="C6" s="5">
        <f>S2_box_l</f>
        <v>0</v>
      </c>
      <c r="D6" s="5"/>
      <c r="E6" s="5"/>
      <c r="F6" s="5"/>
    </row>
    <row r="7" spans="1:6">
      <c r="A7" s="4" t="s">
        <v>4</v>
      </c>
      <c r="B7" s="40" t="str">
        <f>IF(Measure="MS","mm","inch")</f>
        <v>mm</v>
      </c>
      <c r="C7" s="5">
        <f>S2_box_w</f>
        <v>0</v>
      </c>
      <c r="D7" s="5"/>
      <c r="E7" s="5"/>
      <c r="F7" s="5"/>
    </row>
    <row r="8" spans="1:6">
      <c r="A8" s="4" t="s">
        <v>5</v>
      </c>
      <c r="B8" s="40" t="str">
        <f>IF(Measure="MS","mm","inch")</f>
        <v>mm</v>
      </c>
      <c r="C8" s="5">
        <f>S2_box_h</f>
        <v>0</v>
      </c>
      <c r="D8" s="5"/>
      <c r="E8" s="5"/>
      <c r="F8" s="5"/>
    </row>
    <row r="9" spans="1:6">
      <c r="A9" s="1" t="s">
        <v>6</v>
      </c>
      <c r="B9" s="40" t="str">
        <f>IF(Measure="MS","m3","cu.foot")</f>
        <v>m3</v>
      </c>
      <c r="C9" s="196">
        <f>N(S2_box_vol)</f>
        <v>0</v>
      </c>
      <c r="D9" s="6"/>
      <c r="E9" s="6"/>
      <c r="F9" s="6"/>
    </row>
    <row r="11" spans="1:6">
      <c r="A11" s="13" t="str">
        <f>S2_trans_send&amp;" used for sending"</f>
        <v xml:space="preserve"> used for sending</v>
      </c>
      <c r="B11" s="3"/>
    </row>
    <row r="12" spans="1:6">
      <c r="A12" s="4" t="s">
        <v>3</v>
      </c>
      <c r="B12" s="40" t="str">
        <f>IF(Measure="MS","mm","inch")</f>
        <v>mm</v>
      </c>
      <c r="C12" s="5" t="str">
        <f>S2_send_l</f>
        <v/>
      </c>
      <c r="D12" s="5"/>
      <c r="E12" s="5"/>
      <c r="F12" s="5"/>
    </row>
    <row r="13" spans="1:6">
      <c r="A13" s="4" t="s">
        <v>4</v>
      </c>
      <c r="B13" s="40" t="str">
        <f>IF(Measure="MS","mm","inch")</f>
        <v>mm</v>
      </c>
      <c r="C13" s="5" t="str">
        <f>S2_send_w</f>
        <v/>
      </c>
      <c r="D13" s="5"/>
      <c r="E13" s="5"/>
      <c r="F13" s="5"/>
    </row>
    <row r="14" spans="1:6">
      <c r="A14" s="4" t="s">
        <v>5</v>
      </c>
      <c r="B14" s="40" t="str">
        <f>IF(Measure="MS","mm","inch")</f>
        <v>mm</v>
      </c>
      <c r="C14" s="5" t="str">
        <f>S2_send_h</f>
        <v/>
      </c>
      <c r="D14" s="5"/>
      <c r="E14" s="5"/>
      <c r="F14" s="5"/>
    </row>
    <row r="15" spans="1:6">
      <c r="A15" s="4" t="s">
        <v>6</v>
      </c>
      <c r="B15" s="40" t="str">
        <f>IF(Measure="MS","m3","cu.foot")</f>
        <v>m3</v>
      </c>
      <c r="C15" s="6" t="str">
        <f>S2_send_vol</f>
        <v/>
      </c>
      <c r="D15" s="6"/>
      <c r="E15" s="6"/>
      <c r="F15" s="6"/>
    </row>
    <row r="16" spans="1:6">
      <c r="A16" s="4"/>
      <c r="B16" s="3"/>
      <c r="C16" s="6"/>
      <c r="D16" s="6"/>
      <c r="E16" s="6"/>
      <c r="F16" s="6"/>
    </row>
    <row r="17" spans="1:9">
      <c r="A17" s="3" t="s">
        <v>21</v>
      </c>
      <c r="B17" s="40" t="str">
        <f>IF(Measure="MS","mm","inch")</f>
        <v>mm</v>
      </c>
      <c r="C17" s="6">
        <f>S2_tolerance</f>
        <v>5</v>
      </c>
      <c r="D17" s="6"/>
      <c r="E17" s="6"/>
      <c r="F17" s="6"/>
    </row>
    <row r="18" spans="1:9">
      <c r="A18" s="3"/>
      <c r="B18" s="3"/>
      <c r="C18" s="5"/>
      <c r="D18" s="6"/>
      <c r="E18" s="6"/>
      <c r="F18" s="6"/>
    </row>
    <row r="20" spans="1:9">
      <c r="A20" s="2" t="s">
        <v>10</v>
      </c>
      <c r="B20" s="3"/>
    </row>
    <row r="21" spans="1:9">
      <c r="A21" s="12" t="s">
        <v>45</v>
      </c>
      <c r="B21" s="3"/>
    </row>
    <row r="23" spans="1:9">
      <c r="A23" t="s">
        <v>16</v>
      </c>
      <c r="C23" t="e">
        <f>INT($C$13/($C$6+$C$17))</f>
        <v>#VALUE!</v>
      </c>
      <c r="G23" t="s">
        <v>22</v>
      </c>
      <c r="H23" s="40" t="str">
        <f>IF(Measure="MS","mm","inch")</f>
        <v>mm</v>
      </c>
      <c r="I23" s="5" t="e">
        <f>$C$13-(C23*$C$6)</f>
        <v>#VALUE!</v>
      </c>
    </row>
    <row r="24" spans="1:9">
      <c r="A24" t="s">
        <v>17</v>
      </c>
      <c r="C24" t="e">
        <f>INT($C$12/($C$7+$C$17))</f>
        <v>#VALUE!</v>
      </c>
      <c r="G24" t="s">
        <v>23</v>
      </c>
      <c r="H24" s="40" t="str">
        <f>IF(Measure="MS","mm","inch")</f>
        <v>mm</v>
      </c>
      <c r="I24" s="5" t="e">
        <f>$C$12-(C24*$C$7)</f>
        <v>#VALUE!</v>
      </c>
    </row>
    <row r="25" spans="1:9">
      <c r="A25" t="s">
        <v>7</v>
      </c>
      <c r="C25" t="e">
        <f>INT($C$14/($C$8+$C$17))</f>
        <v>#VALUE!</v>
      </c>
      <c r="G25" t="s">
        <v>24</v>
      </c>
      <c r="H25" s="40" t="str">
        <f>IF(Measure="MS","mm","inch")</f>
        <v>mm</v>
      </c>
      <c r="I25" s="5" t="e">
        <f>$C$14-(C25*$C$8)</f>
        <v>#VALUE!</v>
      </c>
    </row>
    <row r="27" spans="1:9">
      <c r="A27" t="s">
        <v>8</v>
      </c>
      <c r="C27" t="e">
        <f>+C23*C24*C25</f>
        <v>#VALUE!</v>
      </c>
    </row>
    <row r="29" spans="1:9">
      <c r="A29" t="s">
        <v>26</v>
      </c>
      <c r="B29" s="40" t="str">
        <f>IF(Measure="MS","m3","cu.foot")</f>
        <v>m3</v>
      </c>
      <c r="C29" s="6" t="e">
        <f>+C9*C27</f>
        <v>#VALUE!</v>
      </c>
      <c r="D29" s="6"/>
      <c r="E29" s="6"/>
      <c r="F29" s="6"/>
    </row>
    <row r="30" spans="1:9">
      <c r="A30" t="s">
        <v>25</v>
      </c>
      <c r="B30" s="40" t="str">
        <f>IF(Measure="MS","m3","cu.foot")</f>
        <v>m3</v>
      </c>
      <c r="C30" s="7" t="e">
        <f>IF(Measure="MS",((I23*(C12-I24)*C14)+(I24*C13*C14)+((C6*C7*(C23*C24)*I25)))/1000/1000/1000,((I23*(C12-I24)*C14)+(I24*C13*C14)+((C6*C7*(C23*C24)*I25)))/12/12/12)</f>
        <v>#VALUE!</v>
      </c>
      <c r="D30" s="8"/>
      <c r="E30" s="8"/>
      <c r="F30" s="8"/>
    </row>
    <row r="31" spans="1:9">
      <c r="B31" s="40" t="str">
        <f>IF(Measure="MS","m3","cu.foot")</f>
        <v>m3</v>
      </c>
      <c r="C31" s="6" t="e">
        <f>+C29+C30</f>
        <v>#VALUE!</v>
      </c>
      <c r="D31" s="6"/>
      <c r="E31" s="6"/>
      <c r="F31" s="6"/>
    </row>
    <row r="32" spans="1:9">
      <c r="A32" t="s">
        <v>11</v>
      </c>
      <c r="B32" s="40" t="str">
        <f>IF(Measure="MS","m3","cu.foot")</f>
        <v>m3</v>
      </c>
      <c r="C32" s="7" t="str">
        <f>+C15</f>
        <v/>
      </c>
      <c r="D32" s="8"/>
      <c r="E32" s="8"/>
      <c r="F32" s="8"/>
    </row>
    <row r="33" spans="1:9">
      <c r="A33" t="s">
        <v>12</v>
      </c>
      <c r="B33" s="40" t="str">
        <f>IF(Measure="MS","m3","cu.foot")</f>
        <v>m3</v>
      </c>
      <c r="C33" s="6" t="e">
        <f>+C31-C32</f>
        <v>#VALUE!</v>
      </c>
      <c r="D33" s="6"/>
      <c r="E33" s="6"/>
      <c r="F33" s="6"/>
    </row>
    <row r="36" spans="1:9">
      <c r="A36" s="10" t="s">
        <v>13</v>
      </c>
    </row>
    <row r="37" spans="1:9">
      <c r="A37" s="12" t="s">
        <v>44</v>
      </c>
    </row>
    <row r="38" spans="1:9">
      <c r="A38" s="12" t="s">
        <v>83</v>
      </c>
    </row>
    <row r="39" spans="1:9">
      <c r="A39" s="10"/>
    </row>
    <row r="40" spans="1:9">
      <c r="A40" s="11" t="s">
        <v>7</v>
      </c>
      <c r="C40" t="e">
        <f>INT($C$14/($C$8+$C$17))</f>
        <v>#VALUE!</v>
      </c>
      <c r="G40" t="s">
        <v>24</v>
      </c>
      <c r="H40" s="40" t="str">
        <f>IF(Measure="MS","mm","inch")</f>
        <v>mm</v>
      </c>
      <c r="I40" s="5" t="e">
        <f>$C$14-(C40*$C$8)</f>
        <v>#VALUE!</v>
      </c>
    </row>
    <row r="41" spans="1:9">
      <c r="A41" s="11"/>
      <c r="I41" s="5"/>
    </row>
    <row r="43" spans="1:9">
      <c r="A43" s="9" t="s">
        <v>27</v>
      </c>
      <c r="C43">
        <v>0</v>
      </c>
      <c r="D43" t="s">
        <v>15</v>
      </c>
      <c r="E43" t="e">
        <f>INT(($C$13-(C43*($C$6+$C$17)))/($C$7+$C$17))</f>
        <v>#VALUE!</v>
      </c>
      <c r="F43" t="s">
        <v>14</v>
      </c>
      <c r="G43" t="s">
        <v>22</v>
      </c>
      <c r="H43" s="40" t="str">
        <f>IF(Measure="MS","mm","inch")</f>
        <v>mm</v>
      </c>
      <c r="I43" s="5" t="e">
        <f>$C$13-($C$6*C43)-($C$7*E43)</f>
        <v>#VALUE!</v>
      </c>
    </row>
    <row r="44" spans="1:9">
      <c r="A44" s="1"/>
      <c r="I44" s="5"/>
    </row>
    <row r="45" spans="1:9">
      <c r="A45" t="s">
        <v>19</v>
      </c>
      <c r="C45">
        <f>IF(C43&gt;0,INT($C$12/($C$7+$C$17)),0)</f>
        <v>0</v>
      </c>
      <c r="G45" t="s">
        <v>23</v>
      </c>
      <c r="H45" s="40" t="str">
        <f>IF(Measure="MS","mm","inch")</f>
        <v>mm</v>
      </c>
      <c r="I45" s="5">
        <f>IF(C45=0,0,$C$12-(C45*$C$7))</f>
        <v>0</v>
      </c>
    </row>
    <row r="46" spans="1:9">
      <c r="A46" t="s">
        <v>20</v>
      </c>
      <c r="C46" t="e">
        <f>IF(E43&gt;0,INT($C$12/($C$6+$C$17)),0)</f>
        <v>#VALUE!</v>
      </c>
      <c r="G46" t="s">
        <v>23</v>
      </c>
      <c r="H46" s="40" t="str">
        <f>IF(Measure="MS","mm","inch")</f>
        <v>mm</v>
      </c>
      <c r="I46" s="5" t="e">
        <f>IF(C46=0,0,$C$12-(C46*$C$6))</f>
        <v>#VALUE!</v>
      </c>
    </row>
    <row r="47" spans="1:9">
      <c r="A47" s="1"/>
      <c r="I47" s="5"/>
    </row>
    <row r="48" spans="1:9">
      <c r="A48" t="s">
        <v>8</v>
      </c>
      <c r="C48" t="e">
        <f>$C$40*((C43*C45)+(E43*C46))</f>
        <v>#VALUE!</v>
      </c>
      <c r="I48" s="5"/>
    </row>
    <row r="49" spans="1:9">
      <c r="A49" s="1"/>
      <c r="I49" s="5"/>
    </row>
    <row r="50" spans="1:9">
      <c r="A50" t="s">
        <v>26</v>
      </c>
      <c r="B50" s="40" t="str">
        <f>IF(Measure="MS","m3","cu.foot")</f>
        <v>m3</v>
      </c>
      <c r="C50" s="6" t="e">
        <f>$C$9*C48</f>
        <v>#VALUE!</v>
      </c>
      <c r="I50" s="5"/>
    </row>
    <row r="51" spans="1:9">
      <c r="A51" t="s">
        <v>25</v>
      </c>
      <c r="B51" s="40" t="str">
        <f>IF(Measure="MS","m3","cu.foot")</f>
        <v>m3</v>
      </c>
      <c r="C51" s="7" t="e">
        <f>IF($C$40=0,$C$15,IF(Measure="MS",((I43*$C$12*$C$14)+(I45*$C$6*C43*$C$14)+(I46*$C$7*E43*$C$14)+((C48/$C$40)*$C$6*$C$7*$I$40))/1000/1000/1000,((I43*$C$12*$C$14)+(I45*$C$6*C43*$C$14)+(I46*$C$7*E43*$C$14)+((C48/$C$40)*$C$6*$C$7*$I$40))/12/12/12))</f>
        <v>#VALUE!</v>
      </c>
      <c r="I51" s="5"/>
    </row>
    <row r="52" spans="1:9">
      <c r="B52" s="40" t="str">
        <f>IF(Measure="MS","m3","cu.foot")</f>
        <v>m3</v>
      </c>
      <c r="C52" s="6" t="e">
        <f>+C50+C51</f>
        <v>#VALUE!</v>
      </c>
      <c r="I52" s="5"/>
    </row>
    <row r="53" spans="1:9">
      <c r="A53" t="s">
        <v>11</v>
      </c>
      <c r="B53" s="40" t="str">
        <f>IF(Measure="MS","m3","cu.foot")</f>
        <v>m3</v>
      </c>
      <c r="C53" s="7" t="str">
        <f>$C$15</f>
        <v/>
      </c>
      <c r="I53" s="5"/>
    </row>
    <row r="54" spans="1:9">
      <c r="A54" t="s">
        <v>12</v>
      </c>
      <c r="B54" s="40" t="str">
        <f>IF(Measure="MS","m3","cu.foot")</f>
        <v>m3</v>
      </c>
      <c r="C54" s="6" t="e">
        <f>+C52-C53</f>
        <v>#VALUE!</v>
      </c>
      <c r="I54" s="5"/>
    </row>
    <row r="55" spans="1:9">
      <c r="A55" s="1"/>
      <c r="I55" s="5"/>
    </row>
    <row r="56" spans="1:9">
      <c r="A56" s="1"/>
      <c r="I56" s="5"/>
    </row>
    <row r="57" spans="1:9">
      <c r="A57" s="9" t="s">
        <v>18</v>
      </c>
      <c r="C57" t="e">
        <f>INT($C$13/(($C$6+$C$17)*1))</f>
        <v>#VALUE!</v>
      </c>
      <c r="D57" t="s">
        <v>15</v>
      </c>
      <c r="E57" t="e">
        <f>INT(($C$13-(C57*($C$6+$C$17)))/($C$7+$C$17))</f>
        <v>#VALUE!</v>
      </c>
      <c r="F57" t="s">
        <v>14</v>
      </c>
      <c r="G57" t="s">
        <v>22</v>
      </c>
      <c r="H57" s="40" t="str">
        <f>IF(Measure="MS","mm","inch")</f>
        <v>mm</v>
      </c>
      <c r="I57" s="5" t="e">
        <f>$C$13-($C$6*C57)-($C$7*E57)</f>
        <v>#VALUE!</v>
      </c>
    </row>
    <row r="58" spans="1:9">
      <c r="A58" s="1"/>
      <c r="I58" s="5"/>
    </row>
    <row r="59" spans="1:9">
      <c r="A59" t="s">
        <v>19</v>
      </c>
      <c r="C59" t="e">
        <f>IF(C57&gt;0,INT($C$12/($C$7+$C$17)),0)</f>
        <v>#VALUE!</v>
      </c>
      <c r="G59" t="s">
        <v>23</v>
      </c>
      <c r="H59" s="40" t="str">
        <f>IF(Measure="MS","mm","inch")</f>
        <v>mm</v>
      </c>
      <c r="I59" s="5" t="e">
        <f>IF(C59=0,0,$C$12-(C59*$C$7))</f>
        <v>#VALUE!</v>
      </c>
    </row>
    <row r="60" spans="1:9">
      <c r="A60" t="s">
        <v>20</v>
      </c>
      <c r="C60" t="e">
        <f>IF(E57&gt;0,INT($C$12/($C$6+$C$17)),0)</f>
        <v>#VALUE!</v>
      </c>
      <c r="G60" t="s">
        <v>23</v>
      </c>
      <c r="H60" s="40" t="str">
        <f>IF(Measure="MS","mm","inch")</f>
        <v>mm</v>
      </c>
      <c r="I60" s="5" t="e">
        <f>IF(C60=0,0,$C$12-(C60*$C$6))</f>
        <v>#VALUE!</v>
      </c>
    </row>
    <row r="61" spans="1:9">
      <c r="A61" s="1"/>
      <c r="I61" s="5"/>
    </row>
    <row r="62" spans="1:9">
      <c r="A62" t="s">
        <v>8</v>
      </c>
      <c r="C62" t="e">
        <f>$C$40*((C57*C59)+(E57*C60))</f>
        <v>#VALUE!</v>
      </c>
      <c r="I62" s="5"/>
    </row>
    <row r="63" spans="1:9">
      <c r="A63" s="1"/>
      <c r="I63" s="5"/>
    </row>
    <row r="64" spans="1:9">
      <c r="A64" t="s">
        <v>26</v>
      </c>
      <c r="B64" s="40" t="str">
        <f>IF(Measure="MS","m3","cu.foot")</f>
        <v>m3</v>
      </c>
      <c r="C64" s="6" t="e">
        <f>$C$9*C62</f>
        <v>#VALUE!</v>
      </c>
      <c r="I64" s="5"/>
    </row>
    <row r="65" spans="1:9">
      <c r="A65" t="s">
        <v>25</v>
      </c>
      <c r="B65" s="40" t="str">
        <f>IF(Measure="MS","m3","cu.foot")</f>
        <v>m3</v>
      </c>
      <c r="C65" s="7" t="e">
        <f>IF($C$40=0,$C$15,IF(Measure="MS",((I57*$C$12*$C$14)+(I59*$C$6*C57*$C$14)+(I60*$C$7*E57*$C$14)+((C62/$C$40)*$C$6*$C$7*$I$40))/1000/1000/1000,((I57*$C$12*$C$14)+(I59*$C$6*C57*$C$14)+(I60*$C$7*E57*$C$14)+((C62/$C$40)*$C$6*$C$7*$I$40))/12/12/12))</f>
        <v>#VALUE!</v>
      </c>
      <c r="I65" s="5"/>
    </row>
    <row r="66" spans="1:9">
      <c r="B66" s="40" t="str">
        <f>IF(Measure="MS","m3","cu.foot")</f>
        <v>m3</v>
      </c>
      <c r="C66" s="6" t="e">
        <f>+C64+C65</f>
        <v>#VALUE!</v>
      </c>
      <c r="I66" s="5"/>
    </row>
    <row r="67" spans="1:9">
      <c r="A67" t="s">
        <v>11</v>
      </c>
      <c r="B67" s="40" t="str">
        <f>IF(Measure="MS","m3","cu.foot")</f>
        <v>m3</v>
      </c>
      <c r="C67" s="7" t="str">
        <f>$C$15</f>
        <v/>
      </c>
      <c r="I67" s="5"/>
    </row>
    <row r="68" spans="1:9">
      <c r="A68" t="s">
        <v>12</v>
      </c>
      <c r="B68" s="40" t="str">
        <f>IF(Measure="MS","m3","cu.foot")</f>
        <v>m3</v>
      </c>
      <c r="C68" s="6" t="e">
        <f>+C66-C67</f>
        <v>#VALUE!</v>
      </c>
      <c r="I68" s="5"/>
    </row>
    <row r="69" spans="1:9">
      <c r="A69" s="1"/>
      <c r="I69" s="5"/>
    </row>
    <row r="70" spans="1:9">
      <c r="A70" s="1"/>
      <c r="I70" s="5"/>
    </row>
    <row r="71" spans="1:9">
      <c r="A71" s="9" t="s">
        <v>28</v>
      </c>
      <c r="C71" t="e">
        <f>INT($C$13/(($C$6+$C$17)*2))</f>
        <v>#VALUE!</v>
      </c>
      <c r="D71" t="s">
        <v>15</v>
      </c>
      <c r="E71" t="e">
        <f>INT(($C$13-(C71*($C$6+$C$17)))/($C$7+$C$17))</f>
        <v>#VALUE!</v>
      </c>
      <c r="F71" t="s">
        <v>14</v>
      </c>
      <c r="G71" t="s">
        <v>22</v>
      </c>
      <c r="H71" s="40" t="str">
        <f>IF(Measure="MS","mm","inch")</f>
        <v>mm</v>
      </c>
      <c r="I71" s="5" t="e">
        <f>$C$13-($C$6*C71)-($C$7*E71)</f>
        <v>#VALUE!</v>
      </c>
    </row>
    <row r="72" spans="1:9">
      <c r="A72" s="1"/>
      <c r="I72" s="5"/>
    </row>
    <row r="73" spans="1:9">
      <c r="A73" t="s">
        <v>19</v>
      </c>
      <c r="C73" t="e">
        <f>IF(C71&gt;0,INT($C$12/($C$7+$C$17)),0)</f>
        <v>#VALUE!</v>
      </c>
      <c r="G73" t="s">
        <v>23</v>
      </c>
      <c r="H73" s="40" t="str">
        <f>IF(Measure="MS","mm","inch")</f>
        <v>mm</v>
      </c>
      <c r="I73" s="5" t="e">
        <f>IF(C73=0,0,$C$12-(C73*$C$7))</f>
        <v>#VALUE!</v>
      </c>
    </row>
    <row r="74" spans="1:9">
      <c r="A74" t="s">
        <v>20</v>
      </c>
      <c r="C74" t="e">
        <f>IF(E71&gt;0,INT($C$12/($C$6+$C$17)),0)</f>
        <v>#VALUE!</v>
      </c>
      <c r="G74" t="s">
        <v>23</v>
      </c>
      <c r="H74" s="40" t="str">
        <f>IF(Measure="MS","mm","inch")</f>
        <v>mm</v>
      </c>
      <c r="I74" s="5" t="e">
        <f>IF(C74=0,0,$C$12-(C74*$C$6))</f>
        <v>#VALUE!</v>
      </c>
    </row>
    <row r="75" spans="1:9">
      <c r="A75" s="1"/>
      <c r="I75" s="5"/>
    </row>
    <row r="76" spans="1:9">
      <c r="A76" t="s">
        <v>8</v>
      </c>
      <c r="C76" t="e">
        <f>$C$40*((C71*C73)+(E71*C74))</f>
        <v>#VALUE!</v>
      </c>
      <c r="I76" s="5"/>
    </row>
    <row r="77" spans="1:9">
      <c r="A77" s="1"/>
      <c r="I77" s="5"/>
    </row>
    <row r="78" spans="1:9">
      <c r="A78" t="s">
        <v>26</v>
      </c>
      <c r="B78" s="40" t="str">
        <f>IF(Measure="MS","m3","cu.foot")</f>
        <v>m3</v>
      </c>
      <c r="C78" s="6" t="e">
        <f>$C$9*C76</f>
        <v>#VALUE!</v>
      </c>
      <c r="I78" s="5"/>
    </row>
    <row r="79" spans="1:9">
      <c r="A79" t="s">
        <v>25</v>
      </c>
      <c r="B79" s="40" t="str">
        <f>IF(Measure="MS","m3","cu.foot")</f>
        <v>m3</v>
      </c>
      <c r="C79" s="7" t="e">
        <f>IF($C$40=0,$C$15,IF(Measure="MS",((I71*$C$12*$C$14)+(I73*$C$6*C71*$C$14)+(I74*$C$7*E71*$C$14)+((C76/$C$40)*$C$6*$C$7*$I$40))/1000/1000/1000,((I71*$C$12*$C$14)+(I73*$C$6*C71*$C$14)+(I74*$C$7*E71*$C$14)+((C76/$C$40)*$C$6*$C$7*$I$40))/12/12/12))</f>
        <v>#VALUE!</v>
      </c>
      <c r="I79" s="5"/>
    </row>
    <row r="80" spans="1:9">
      <c r="B80" s="40" t="str">
        <f>IF(Measure="MS","m3","cu.foot")</f>
        <v>m3</v>
      </c>
      <c r="C80" s="6" t="e">
        <f>+C78+C79</f>
        <v>#VALUE!</v>
      </c>
      <c r="I80" s="5"/>
    </row>
    <row r="81" spans="1:9">
      <c r="A81" t="s">
        <v>11</v>
      </c>
      <c r="B81" s="40" t="str">
        <f>IF(Measure="MS","m3","cu.foot")</f>
        <v>m3</v>
      </c>
      <c r="C81" s="7" t="str">
        <f>$C$15</f>
        <v/>
      </c>
      <c r="I81" s="5"/>
    </row>
    <row r="82" spans="1:9">
      <c r="A82" t="s">
        <v>12</v>
      </c>
      <c r="B82" s="40" t="str">
        <f>IF(Measure="MS","m3","cu.foot")</f>
        <v>m3</v>
      </c>
      <c r="C82" s="6" t="e">
        <f>+C80-C81</f>
        <v>#VALUE!</v>
      </c>
      <c r="I82" s="5"/>
    </row>
    <row r="83" spans="1:9">
      <c r="A83" s="1"/>
      <c r="I83" s="5"/>
    </row>
    <row r="84" spans="1:9">
      <c r="A84" s="1"/>
      <c r="I84" s="5"/>
    </row>
    <row r="85" spans="1:9">
      <c r="A85" s="9" t="s">
        <v>29</v>
      </c>
      <c r="C85" t="e">
        <f>INT($C$13/(($C$6+$C$17)*3))</f>
        <v>#VALUE!</v>
      </c>
      <c r="D85" t="s">
        <v>15</v>
      </c>
      <c r="E85" t="e">
        <f>INT(($C$13-(C85*($C$6+$C$17)))/($C$7+$C$17))</f>
        <v>#VALUE!</v>
      </c>
      <c r="F85" t="s">
        <v>14</v>
      </c>
      <c r="G85" t="s">
        <v>22</v>
      </c>
      <c r="H85" s="40" t="str">
        <f>IF(Measure="MS","mm","inch")</f>
        <v>mm</v>
      </c>
      <c r="I85" s="5" t="e">
        <f>$C$13-($C$6*C85)-($C$7*E85)</f>
        <v>#VALUE!</v>
      </c>
    </row>
    <row r="86" spans="1:9">
      <c r="A86" s="1"/>
      <c r="I86" s="5"/>
    </row>
    <row r="87" spans="1:9">
      <c r="A87" t="s">
        <v>19</v>
      </c>
      <c r="C87" t="e">
        <f>IF(C85&gt;0,INT($C$12/($C$7+$C$17)),0)</f>
        <v>#VALUE!</v>
      </c>
      <c r="G87" t="s">
        <v>23</v>
      </c>
      <c r="H87" s="40" t="str">
        <f>IF(Measure="MS","mm","inch")</f>
        <v>mm</v>
      </c>
      <c r="I87" s="5" t="e">
        <f>IF(C87=0,0,$C$12-(C87*$C$7))</f>
        <v>#VALUE!</v>
      </c>
    </row>
    <row r="88" spans="1:9">
      <c r="A88" t="s">
        <v>20</v>
      </c>
      <c r="C88" t="e">
        <f>IF(E85&gt;0,INT($C$12/($C$6+$C$17)),0)</f>
        <v>#VALUE!</v>
      </c>
      <c r="G88" t="s">
        <v>23</v>
      </c>
      <c r="H88" s="40" t="str">
        <f>IF(Measure="MS","mm","inch")</f>
        <v>mm</v>
      </c>
      <c r="I88" s="5" t="e">
        <f>IF(C88=0,0,$C$12-(C88*$C$6))</f>
        <v>#VALUE!</v>
      </c>
    </row>
    <row r="89" spans="1:9">
      <c r="A89" s="1"/>
      <c r="I89" s="5"/>
    </row>
    <row r="90" spans="1:9">
      <c r="A90" t="s">
        <v>8</v>
      </c>
      <c r="C90" t="e">
        <f>$C$40*((C85*C87)+(E85*C88))</f>
        <v>#VALUE!</v>
      </c>
      <c r="I90" s="5"/>
    </row>
    <row r="91" spans="1:9">
      <c r="A91" s="1"/>
      <c r="I91" s="5"/>
    </row>
    <row r="92" spans="1:9">
      <c r="A92" t="s">
        <v>26</v>
      </c>
      <c r="B92" s="40" t="str">
        <f>IF(Measure="MS","m3","cu.foot")</f>
        <v>m3</v>
      </c>
      <c r="C92" s="6" t="e">
        <f>$C$9*C90</f>
        <v>#VALUE!</v>
      </c>
      <c r="I92" s="5"/>
    </row>
    <row r="93" spans="1:9">
      <c r="A93" t="s">
        <v>25</v>
      </c>
      <c r="B93" s="40" t="str">
        <f>IF(Measure="MS","m3","cu.foot")</f>
        <v>m3</v>
      </c>
      <c r="C93" s="7" t="e">
        <f>IF($C$40=0,$C$15,IF(Measure="MS",((I85*$C$12*$C$14)+(I87*$C$6*C85*$C$14)+(I88*$C$7*E85*$C$14)+((C90/$C$40)*$C$6*$C$7*$I$40))/1000/1000/1000,((I85*$C$12*$C$14)+(I87*$C$6*C85*$C$14)+(I88*$C$7*E85*$C$14)+((C90/$C$40)*$C$6*$C$7*$I$40))/12/12/12))</f>
        <v>#VALUE!</v>
      </c>
      <c r="I93" s="5"/>
    </row>
    <row r="94" spans="1:9">
      <c r="B94" s="40" t="str">
        <f>IF(Measure="MS","m3","cu.foot")</f>
        <v>m3</v>
      </c>
      <c r="C94" s="6" t="e">
        <f>+C92+C93</f>
        <v>#VALUE!</v>
      </c>
      <c r="I94" s="5"/>
    </row>
    <row r="95" spans="1:9">
      <c r="A95" t="s">
        <v>11</v>
      </c>
      <c r="B95" s="40" t="str">
        <f>IF(Measure="MS","m3","cu.foot")</f>
        <v>m3</v>
      </c>
      <c r="C95" s="7" t="str">
        <f>$C$15</f>
        <v/>
      </c>
      <c r="I95" s="5"/>
    </row>
    <row r="96" spans="1:9">
      <c r="A96" t="s">
        <v>12</v>
      </c>
      <c r="B96" s="40" t="str">
        <f>IF(Measure="MS","m3","cu.foot")</f>
        <v>m3</v>
      </c>
      <c r="C96" s="6" t="e">
        <f>+C94-C95</f>
        <v>#VALUE!</v>
      </c>
      <c r="I96" s="5"/>
    </row>
    <row r="97" spans="1:9">
      <c r="A97" s="1"/>
      <c r="I97" s="5"/>
    </row>
    <row r="99" spans="1:9">
      <c r="A99" s="9" t="s">
        <v>30</v>
      </c>
      <c r="C99" t="e">
        <f>INT($C$13/(($C$6+$C$17)*4))</f>
        <v>#VALUE!</v>
      </c>
      <c r="D99" t="s">
        <v>15</v>
      </c>
      <c r="E99" t="e">
        <f>INT(($C$13-(C99*($C$6+$C$17)))/($C$7+$C$17))</f>
        <v>#VALUE!</v>
      </c>
      <c r="F99" t="s">
        <v>14</v>
      </c>
      <c r="G99" t="s">
        <v>22</v>
      </c>
      <c r="H99" s="40" t="str">
        <f>IF(Measure="MS","mm","inch")</f>
        <v>mm</v>
      </c>
      <c r="I99" s="5" t="e">
        <f>$C$13-($C$6*C99)-($C$7*E99)</f>
        <v>#VALUE!</v>
      </c>
    </row>
    <row r="100" spans="1:9">
      <c r="A100" s="1"/>
      <c r="I100" s="5"/>
    </row>
    <row r="101" spans="1:9">
      <c r="A101" t="s">
        <v>19</v>
      </c>
      <c r="C101" t="e">
        <f>IF(C99&gt;0,INT($C$12/($C$7+$C$17)),0)</f>
        <v>#VALUE!</v>
      </c>
      <c r="G101" t="s">
        <v>23</v>
      </c>
      <c r="H101" s="40" t="str">
        <f>IF(Measure="MS","mm","inch")</f>
        <v>mm</v>
      </c>
      <c r="I101" s="5" t="e">
        <f>IF(C101=0,0,$C$12-(C101*$C$7))</f>
        <v>#VALUE!</v>
      </c>
    </row>
    <row r="102" spans="1:9">
      <c r="A102" t="s">
        <v>20</v>
      </c>
      <c r="C102" t="e">
        <f>IF(E99&gt;0,INT($C$12/($C$6+$C$17)),0)</f>
        <v>#VALUE!</v>
      </c>
      <c r="G102" t="s">
        <v>23</v>
      </c>
      <c r="H102" s="40" t="str">
        <f>IF(Measure="MS","mm","inch")</f>
        <v>mm</v>
      </c>
      <c r="I102" s="5" t="e">
        <f>IF(C102=0,0,$C$12-(C102*$C$6))</f>
        <v>#VALUE!</v>
      </c>
    </row>
    <row r="103" spans="1:9">
      <c r="A103" s="1"/>
      <c r="I103" s="5"/>
    </row>
    <row r="104" spans="1:9">
      <c r="A104" t="s">
        <v>8</v>
      </c>
      <c r="C104" t="e">
        <f>$C$40*((C99*C101)+(E99*C102))</f>
        <v>#VALUE!</v>
      </c>
      <c r="I104" s="5"/>
    </row>
    <row r="105" spans="1:9">
      <c r="A105" s="1"/>
      <c r="I105" s="5"/>
    </row>
    <row r="106" spans="1:9">
      <c r="A106" t="s">
        <v>26</v>
      </c>
      <c r="B106" s="40" t="str">
        <f>IF(Measure="MS","m3","cu.foot")</f>
        <v>m3</v>
      </c>
      <c r="C106" s="6" t="e">
        <f>$C$9*C104</f>
        <v>#VALUE!</v>
      </c>
      <c r="I106" s="5"/>
    </row>
    <row r="107" spans="1:9">
      <c r="A107" t="s">
        <v>25</v>
      </c>
      <c r="B107" s="40" t="str">
        <f>IF(Measure="MS","m3","cu.foot")</f>
        <v>m3</v>
      </c>
      <c r="C107" s="7" t="e">
        <f>IF($C$40=0,$C$15,IF(Measure="MS",((I99*$C$12*$C$14)+(I101*$C$6*C99*$C$14)+(I102*$C$7*E99*$C$14)+((C104/$C$40)*$C$6*$C$7*$I$40))/1000/1000/1000,((I99*$C$12*$C$14)+(I101*$C$6*C99*$C$14)+(I102*$C$7*E99*$C$14)+((C104/$C$40)*$C$6*$C$7*$I$40))/12/12/12))</f>
        <v>#VALUE!</v>
      </c>
      <c r="I107" s="5"/>
    </row>
    <row r="108" spans="1:9">
      <c r="B108" s="40" t="str">
        <f>IF(Measure="MS","m3","cu.foot")</f>
        <v>m3</v>
      </c>
      <c r="C108" s="6" t="e">
        <f>+C106+C107</f>
        <v>#VALUE!</v>
      </c>
      <c r="I108" s="5"/>
    </row>
    <row r="109" spans="1:9">
      <c r="A109" t="s">
        <v>11</v>
      </c>
      <c r="B109" s="40" t="str">
        <f>IF(Measure="MS","m3","cu.foot")</f>
        <v>m3</v>
      </c>
      <c r="C109" s="7" t="str">
        <f>$C$15</f>
        <v/>
      </c>
      <c r="I109" s="5"/>
    </row>
    <row r="110" spans="1:9">
      <c r="A110" t="s">
        <v>12</v>
      </c>
      <c r="B110" s="40" t="str">
        <f>IF(Measure="MS","m3","cu.foot")</f>
        <v>m3</v>
      </c>
      <c r="C110" s="6" t="e">
        <f>+C108-C109</f>
        <v>#VALUE!</v>
      </c>
      <c r="I110" s="5"/>
    </row>
    <row r="113" spans="1:9">
      <c r="A113" s="9" t="s">
        <v>31</v>
      </c>
      <c r="C113" t="e">
        <f>INT($C$13/(($C$6+$C$17)*5))</f>
        <v>#VALUE!</v>
      </c>
      <c r="D113" t="s">
        <v>15</v>
      </c>
      <c r="E113" t="e">
        <f>INT(($C$13-(C113*($C$6+$C$17)))/($C$7+$C$17))</f>
        <v>#VALUE!</v>
      </c>
      <c r="F113" t="s">
        <v>14</v>
      </c>
      <c r="G113" t="s">
        <v>22</v>
      </c>
      <c r="H113" s="40" t="str">
        <f>IF(Measure="MS","mm","inch")</f>
        <v>mm</v>
      </c>
      <c r="I113" s="5" t="e">
        <f>$C$13-($C$6*C113)-($C$7*E113)</f>
        <v>#VALUE!</v>
      </c>
    </row>
    <row r="114" spans="1:9">
      <c r="A114" s="1"/>
      <c r="I114" s="5"/>
    </row>
    <row r="115" spans="1:9">
      <c r="A115" t="s">
        <v>19</v>
      </c>
      <c r="C115" t="e">
        <f>IF(C113&gt;0,INT($C$12/($C$7+$C$17)),0)</f>
        <v>#VALUE!</v>
      </c>
      <c r="G115" t="s">
        <v>23</v>
      </c>
      <c r="H115" s="40" t="str">
        <f>IF(Measure="MS","mm","inch")</f>
        <v>mm</v>
      </c>
      <c r="I115" s="5" t="e">
        <f>IF(C115=0,0,$C$12-(C115*$C$7))</f>
        <v>#VALUE!</v>
      </c>
    </row>
    <row r="116" spans="1:9">
      <c r="A116" t="s">
        <v>20</v>
      </c>
      <c r="C116" t="e">
        <f>IF(E113&gt;0,INT($C$12/($C$6+$C$17)),0)</f>
        <v>#VALUE!</v>
      </c>
      <c r="G116" t="s">
        <v>23</v>
      </c>
      <c r="H116" s="40" t="str">
        <f>IF(Measure="MS","mm","inch")</f>
        <v>mm</v>
      </c>
      <c r="I116" s="5" t="e">
        <f>IF(C116=0,0,$C$12-(C116*$C$6))</f>
        <v>#VALUE!</v>
      </c>
    </row>
    <row r="117" spans="1:9">
      <c r="A117" s="1"/>
      <c r="I117" s="5"/>
    </row>
    <row r="118" spans="1:9">
      <c r="A118" t="s">
        <v>8</v>
      </c>
      <c r="C118" t="e">
        <f>$C$40*((C113*C115)+(E113*C116))</f>
        <v>#VALUE!</v>
      </c>
      <c r="I118" s="5"/>
    </row>
    <row r="119" spans="1:9">
      <c r="A119" s="1"/>
      <c r="I119" s="5"/>
    </row>
    <row r="120" spans="1:9">
      <c r="A120" t="s">
        <v>26</v>
      </c>
      <c r="B120" s="40" t="str">
        <f>IF(Measure="MS","m3","cu.foot")</f>
        <v>m3</v>
      </c>
      <c r="C120" s="6" t="e">
        <f>$C$9*C118</f>
        <v>#VALUE!</v>
      </c>
      <c r="I120" s="5"/>
    </row>
    <row r="121" spans="1:9">
      <c r="A121" t="s">
        <v>25</v>
      </c>
      <c r="B121" s="40" t="str">
        <f>IF(Measure="MS","m3","cu.foot")</f>
        <v>m3</v>
      </c>
      <c r="C121" s="7" t="e">
        <f>IF($C$40=0,$C$15,IF(Measure="MS",((I113*$C$12*$C$14)+(I115*$C$6*C113*$C$14)+(I116*$C$7*E113*$C$14)+((C118/$C$40)*$C$6*$C$7*$I$40))/1000/1000/1000,((I113*$C$12*$C$14)+(I115*$C$6*C113*$C$14)+(I116*$C$7*E113*$C$14)+((C118/$C$40)*$C$6*$C$7*$I$40))/12/12/12))</f>
        <v>#VALUE!</v>
      </c>
      <c r="I121" s="5"/>
    </row>
    <row r="122" spans="1:9">
      <c r="B122" s="40" t="str">
        <f>IF(Measure="MS","m3","cu.foot")</f>
        <v>m3</v>
      </c>
      <c r="C122" s="6" t="e">
        <f>+C120+C121</f>
        <v>#VALUE!</v>
      </c>
      <c r="I122" s="5"/>
    </row>
    <row r="123" spans="1:9">
      <c r="A123" t="s">
        <v>11</v>
      </c>
      <c r="B123" s="40" t="str">
        <f>IF(Measure="MS","m3","cu.foot")</f>
        <v>m3</v>
      </c>
      <c r="C123" s="7" t="str">
        <f>$C$15</f>
        <v/>
      </c>
      <c r="I123" s="5"/>
    </row>
    <row r="124" spans="1:9">
      <c r="A124" t="s">
        <v>12</v>
      </c>
      <c r="B124" s="40" t="str">
        <f>IF(Measure="MS","m3","cu.foot")</f>
        <v>m3</v>
      </c>
      <c r="C124" s="6" t="e">
        <f>+C122-C123</f>
        <v>#VALUE!</v>
      </c>
      <c r="I124" s="5"/>
    </row>
    <row r="127" spans="1:9">
      <c r="A127" s="9" t="s">
        <v>84</v>
      </c>
      <c r="C127" t="e">
        <f>INT($C$13/(($C$6+$C$17)*6))</f>
        <v>#VALUE!</v>
      </c>
      <c r="D127" t="s">
        <v>15</v>
      </c>
      <c r="E127" t="e">
        <f>INT(($C$13-(C127*($C$6+$C$17)))/($C$7+$C$17))</f>
        <v>#VALUE!</v>
      </c>
      <c r="F127" t="s">
        <v>14</v>
      </c>
      <c r="G127" t="s">
        <v>22</v>
      </c>
      <c r="H127" s="40" t="str">
        <f>IF(Measure="MS","mm","inch")</f>
        <v>mm</v>
      </c>
      <c r="I127" s="5" t="e">
        <f>$C$13-($C$6*C127)-($C$7*E127)</f>
        <v>#VALUE!</v>
      </c>
    </row>
    <row r="128" spans="1:9">
      <c r="A128" s="1"/>
      <c r="I128" s="5"/>
    </row>
    <row r="129" spans="1:9">
      <c r="A129" t="s">
        <v>19</v>
      </c>
      <c r="C129" t="e">
        <f>IF(C127&gt;0,INT($C$12/($C$7+$C$17)),0)</f>
        <v>#VALUE!</v>
      </c>
      <c r="G129" t="s">
        <v>23</v>
      </c>
      <c r="H129" s="40" t="str">
        <f>IF(Measure="MS","mm","inch")</f>
        <v>mm</v>
      </c>
      <c r="I129" s="5" t="e">
        <f>IF(C129=0,0,$C$12-(C129*$C$7))</f>
        <v>#VALUE!</v>
      </c>
    </row>
    <row r="130" spans="1:9">
      <c r="A130" t="s">
        <v>20</v>
      </c>
      <c r="C130" t="e">
        <f>IF(E127&gt;0,INT($C$12/($C$6+$C$17)),0)</f>
        <v>#VALUE!</v>
      </c>
      <c r="G130" t="s">
        <v>23</v>
      </c>
      <c r="H130" s="40" t="str">
        <f>IF(Measure="MS","mm","inch")</f>
        <v>mm</v>
      </c>
      <c r="I130" s="5" t="e">
        <f>IF(C130=0,0,$C$12-(C130*$C$6))</f>
        <v>#VALUE!</v>
      </c>
    </row>
    <row r="131" spans="1:9">
      <c r="A131" s="1"/>
      <c r="I131" s="5"/>
    </row>
    <row r="132" spans="1:9">
      <c r="A132" t="s">
        <v>8</v>
      </c>
      <c r="C132" t="e">
        <f>$C$40*((C127*C129)+(E127*C130))</f>
        <v>#VALUE!</v>
      </c>
      <c r="I132" s="5"/>
    </row>
    <row r="133" spans="1:9">
      <c r="A133" s="1"/>
      <c r="I133" s="5"/>
    </row>
    <row r="134" spans="1:9">
      <c r="A134" t="s">
        <v>26</v>
      </c>
      <c r="B134" s="40" t="str">
        <f>IF(Measure="MS","m3","cu.foot")</f>
        <v>m3</v>
      </c>
      <c r="C134" s="6" t="e">
        <f>$C$9*C132</f>
        <v>#VALUE!</v>
      </c>
      <c r="I134" s="5"/>
    </row>
    <row r="135" spans="1:9">
      <c r="A135" t="s">
        <v>25</v>
      </c>
      <c r="B135" s="40" t="str">
        <f>IF(Measure="MS","m3","cu.foot")</f>
        <v>m3</v>
      </c>
      <c r="C135" s="7" t="e">
        <f>IF($C$40=0,$C$15,IF(Measure="MS",((I127*$C$12*$C$14)+(I129*$C$6*C127*$C$14)+(I130*$C$7*E127*$C$14)+((C132/$C$40)*$C$6*$C$7*$I$40))/1000/1000/1000,((I127*$C$12*$C$14)+(I129*$C$6*C127*$C$14)+(I130*$C$7*E127*$C$14)+((C132/$C$40)*$C$6*$C$7*$I$40))/12/12/12))</f>
        <v>#VALUE!</v>
      </c>
      <c r="I135" s="5"/>
    </row>
    <row r="136" spans="1:9">
      <c r="B136" s="40" t="str">
        <f>IF(Measure="MS","m3","cu.foot")</f>
        <v>m3</v>
      </c>
      <c r="C136" s="6" t="e">
        <f>+C134+C135</f>
        <v>#VALUE!</v>
      </c>
      <c r="I136" s="5"/>
    </row>
    <row r="137" spans="1:9">
      <c r="A137" t="s">
        <v>11</v>
      </c>
      <c r="B137" s="40" t="str">
        <f>IF(Measure="MS","m3","cu.foot")</f>
        <v>m3</v>
      </c>
      <c r="C137" s="7" t="str">
        <f>$C$15</f>
        <v/>
      </c>
      <c r="I137" s="5"/>
    </row>
    <row r="138" spans="1:9">
      <c r="A138" t="s">
        <v>12</v>
      </c>
      <c r="B138" s="40" t="str">
        <f>IF(Measure="MS","m3","cu.foot")</f>
        <v>m3</v>
      </c>
      <c r="C138" s="6" t="e">
        <f>+C136-C137</f>
        <v>#VALUE!</v>
      </c>
      <c r="I138" s="5"/>
    </row>
    <row r="141" spans="1:9">
      <c r="A141" t="s">
        <v>32</v>
      </c>
      <c r="C141" t="e">
        <f>IF(C54+C68+C82+C96+C110+C124+C138=0,MAX(C48,C62,C76,C90,C104,C118,C138),"Failure in calculation")</f>
        <v>#VALUE!</v>
      </c>
    </row>
  </sheetData>
  <sheetProtection password="C861" sheet="1" objects="1" scenarios="1"/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1"/>
  <sheetViews>
    <sheetView workbookViewId="0"/>
  </sheetViews>
  <sheetFormatPr defaultRowHeight="12.75"/>
  <cols>
    <col min="1" max="1" width="38" customWidth="1"/>
    <col min="2" max="2" width="6.7109375" customWidth="1"/>
    <col min="3" max="3" width="9" customWidth="1"/>
    <col min="4" max="6" width="3.42578125" customWidth="1"/>
    <col min="7" max="7" width="32.85546875" customWidth="1"/>
    <col min="8" max="8" width="5.140625" customWidth="1"/>
    <col min="9" max="9" width="8.42578125" customWidth="1"/>
    <col min="10" max="10" width="12" bestFit="1" customWidth="1"/>
  </cols>
  <sheetData>
    <row r="1" spans="1:6" ht="15.75">
      <c r="A1" s="15" t="s">
        <v>73</v>
      </c>
    </row>
    <row r="3" spans="1:6">
      <c r="A3" s="10" t="s">
        <v>46</v>
      </c>
    </row>
    <row r="5" spans="1:6">
      <c r="A5" s="13" t="str">
        <f>S1_type&amp;" "&amp;LOWER(S1_box)&amp;" box"</f>
        <v xml:space="preserve">  box</v>
      </c>
    </row>
    <row r="6" spans="1:6">
      <c r="A6" s="4" t="s">
        <v>3</v>
      </c>
      <c r="B6" s="40" t="str">
        <f>IF(Measure="MS","mm","inch")</f>
        <v>mm</v>
      </c>
      <c r="C6" s="5">
        <f>S1_box_l</f>
        <v>0</v>
      </c>
      <c r="D6" s="5"/>
      <c r="E6" s="5"/>
      <c r="F6" s="5"/>
    </row>
    <row r="7" spans="1:6">
      <c r="A7" s="4" t="s">
        <v>4</v>
      </c>
      <c r="B7" s="40" t="str">
        <f>IF(Measure="MS","mm","inch")</f>
        <v>mm</v>
      </c>
      <c r="C7" s="5">
        <f>S1_box_w</f>
        <v>0</v>
      </c>
      <c r="D7" s="5"/>
      <c r="E7" s="5"/>
      <c r="F7" s="5"/>
    </row>
    <row r="8" spans="1:6">
      <c r="A8" s="4" t="s">
        <v>5</v>
      </c>
      <c r="B8" s="40" t="str">
        <f>IF(Measure="MS","mm","inch")</f>
        <v>mm</v>
      </c>
      <c r="C8" s="5">
        <f>S1_box_h</f>
        <v>0</v>
      </c>
      <c r="D8" s="5"/>
      <c r="E8" s="5"/>
      <c r="F8" s="5"/>
    </row>
    <row r="9" spans="1:6">
      <c r="A9" s="1" t="s">
        <v>6</v>
      </c>
      <c r="B9" s="40" t="str">
        <f>IF(Measure="MS","m3","cu.foot")</f>
        <v>m3</v>
      </c>
      <c r="C9" s="6">
        <f>N(S1_box_vol)</f>
        <v>0</v>
      </c>
      <c r="D9" s="6"/>
      <c r="E9" s="6"/>
      <c r="F9" s="6"/>
    </row>
    <row r="11" spans="1:6">
      <c r="A11" s="13" t="str">
        <f>S1_trans_send&amp;" used for sending"</f>
        <v xml:space="preserve"> used for sending</v>
      </c>
      <c r="B11" s="3"/>
    </row>
    <row r="12" spans="1:6">
      <c r="A12" s="4" t="s">
        <v>3</v>
      </c>
      <c r="B12" s="40" t="str">
        <f>IF(Measure="MS","mm","inch")</f>
        <v>mm</v>
      </c>
      <c r="C12" s="5" t="str">
        <f>S1_send_l</f>
        <v/>
      </c>
      <c r="D12" s="5"/>
      <c r="E12" s="5"/>
      <c r="F12" s="5"/>
    </row>
    <row r="13" spans="1:6">
      <c r="A13" s="4" t="s">
        <v>4</v>
      </c>
      <c r="B13" s="40" t="str">
        <f>IF(Measure="MS","mm","inch")</f>
        <v>mm</v>
      </c>
      <c r="C13" s="5" t="str">
        <f>S1_send_w</f>
        <v/>
      </c>
      <c r="D13" s="5"/>
      <c r="E13" s="5"/>
      <c r="F13" s="5"/>
    </row>
    <row r="14" spans="1:6">
      <c r="A14" s="4" t="s">
        <v>5</v>
      </c>
      <c r="B14" s="40" t="str">
        <f>IF(Measure="MS","mm","inch")</f>
        <v>mm</v>
      </c>
      <c r="C14" s="5" t="str">
        <f>S1_send_h</f>
        <v/>
      </c>
      <c r="D14" s="5"/>
      <c r="E14" s="5"/>
      <c r="F14" s="5"/>
    </row>
    <row r="15" spans="1:6">
      <c r="A15" s="4" t="s">
        <v>6</v>
      </c>
      <c r="B15" s="40" t="str">
        <f>IF(Measure="MS","m3","cu.foot")</f>
        <v>m3</v>
      </c>
      <c r="C15" s="6" t="str">
        <f>S1_send_vol</f>
        <v/>
      </c>
      <c r="D15" s="6"/>
      <c r="E15" s="6"/>
      <c r="F15" s="6"/>
    </row>
    <row r="16" spans="1:6">
      <c r="A16" s="4"/>
      <c r="B16" s="3"/>
      <c r="C16" s="6"/>
      <c r="D16" s="6"/>
      <c r="E16" s="6"/>
      <c r="F16" s="6"/>
    </row>
    <row r="17" spans="1:9">
      <c r="A17" s="3" t="s">
        <v>21</v>
      </c>
      <c r="B17" s="40" t="str">
        <f>IF(Measure="MS","mm","inch")</f>
        <v>mm</v>
      </c>
      <c r="C17" s="6">
        <f>S1_tolerance</f>
        <v>5</v>
      </c>
      <c r="D17" s="6"/>
      <c r="E17" s="6"/>
      <c r="F17" s="6"/>
    </row>
    <row r="18" spans="1:9">
      <c r="A18" s="3"/>
      <c r="B18" s="3"/>
      <c r="C18" s="5"/>
      <c r="D18" s="6"/>
      <c r="E18" s="6"/>
      <c r="F18" s="6"/>
    </row>
    <row r="20" spans="1:9">
      <c r="A20" s="2" t="s">
        <v>10</v>
      </c>
      <c r="B20" s="3"/>
    </row>
    <row r="21" spans="1:9">
      <c r="A21" s="12" t="s">
        <v>45</v>
      </c>
      <c r="B21" s="3"/>
    </row>
    <row r="23" spans="1:9">
      <c r="A23" t="s">
        <v>16</v>
      </c>
      <c r="C23" t="e">
        <f>INT($C$13/($C$6+$C$17))</f>
        <v>#VALUE!</v>
      </c>
      <c r="G23" t="s">
        <v>22</v>
      </c>
      <c r="H23" s="40" t="str">
        <f>IF(Measure="MS","mm","inch")</f>
        <v>mm</v>
      </c>
      <c r="I23" s="5" t="e">
        <f>$C$13-(C23*$C$6)</f>
        <v>#VALUE!</v>
      </c>
    </row>
    <row r="24" spans="1:9">
      <c r="A24" t="s">
        <v>17</v>
      </c>
      <c r="C24" t="e">
        <f>INT($C$12/($C$7+$C$17))</f>
        <v>#VALUE!</v>
      </c>
      <c r="G24" t="s">
        <v>23</v>
      </c>
      <c r="H24" s="40" t="str">
        <f>IF(Measure="MS","mm","inch")</f>
        <v>mm</v>
      </c>
      <c r="I24" s="5" t="e">
        <f>$C$12-(C24*$C$7)</f>
        <v>#VALUE!</v>
      </c>
    </row>
    <row r="25" spans="1:9">
      <c r="A25" t="s">
        <v>7</v>
      </c>
      <c r="C25" t="e">
        <f>INT($C$14/($C$8+$C$17))</f>
        <v>#VALUE!</v>
      </c>
      <c r="G25" t="s">
        <v>24</v>
      </c>
      <c r="H25" s="40" t="str">
        <f>IF(Measure="MS","mm","inch")</f>
        <v>mm</v>
      </c>
      <c r="I25" s="5" t="e">
        <f>$C$14-(C25*$C$8)</f>
        <v>#VALUE!</v>
      </c>
    </row>
    <row r="27" spans="1:9">
      <c r="A27" t="s">
        <v>8</v>
      </c>
      <c r="C27" t="e">
        <f>+C23*C24*C25</f>
        <v>#VALUE!</v>
      </c>
    </row>
    <row r="29" spans="1:9">
      <c r="A29" t="s">
        <v>26</v>
      </c>
      <c r="B29" s="40" t="str">
        <f>IF(Measure="MS","m3","cu.foot")</f>
        <v>m3</v>
      </c>
      <c r="C29" s="6" t="e">
        <f>+C9*C27</f>
        <v>#VALUE!</v>
      </c>
      <c r="D29" s="6"/>
      <c r="E29" s="6"/>
      <c r="F29" s="6"/>
    </row>
    <row r="30" spans="1:9">
      <c r="A30" t="s">
        <v>25</v>
      </c>
      <c r="B30" s="40" t="str">
        <f>IF(Measure="MS","m3","cu.foot")</f>
        <v>m3</v>
      </c>
      <c r="C30" s="7" t="e">
        <f>IF(Measure="MS",((I23*(C12-I24)*C14)+(I24*C13*C14)+((C6*C7*(C23*C24)*I25)))/1000/1000/1000,((I23*(C12-I24)*C14)+(I24*C13*C14)+((C6*C7*(C23*C24)*I25)))/12/12/12)</f>
        <v>#VALUE!</v>
      </c>
      <c r="D30" s="8"/>
      <c r="E30" s="8"/>
      <c r="F30" s="8"/>
    </row>
    <row r="31" spans="1:9">
      <c r="B31" s="40" t="str">
        <f>IF(Measure="MS","m3","cu.foot")</f>
        <v>m3</v>
      </c>
      <c r="C31" s="6" t="e">
        <f>+C29+C30</f>
        <v>#VALUE!</v>
      </c>
      <c r="D31" s="6"/>
      <c r="E31" s="6"/>
      <c r="F31" s="6"/>
    </row>
    <row r="32" spans="1:9">
      <c r="A32" t="s">
        <v>11</v>
      </c>
      <c r="B32" s="40" t="str">
        <f>IF(Measure="MS","m3","cu.foot")</f>
        <v>m3</v>
      </c>
      <c r="C32" s="7" t="str">
        <f>+C15</f>
        <v/>
      </c>
      <c r="D32" s="8"/>
      <c r="E32" s="8"/>
      <c r="F32" s="8"/>
    </row>
    <row r="33" spans="1:9">
      <c r="A33" t="s">
        <v>12</v>
      </c>
      <c r="B33" s="40" t="str">
        <f>IF(Measure="MS","m3","cu.foot")</f>
        <v>m3</v>
      </c>
      <c r="C33" s="6" t="e">
        <f>+C31-C32</f>
        <v>#VALUE!</v>
      </c>
      <c r="D33" s="6"/>
      <c r="E33" s="6"/>
      <c r="F33" s="6"/>
    </row>
    <row r="36" spans="1:9">
      <c r="A36" s="10" t="s">
        <v>13</v>
      </c>
    </row>
    <row r="37" spans="1:9">
      <c r="A37" s="12" t="s">
        <v>44</v>
      </c>
    </row>
    <row r="38" spans="1:9">
      <c r="A38" s="12" t="s">
        <v>83</v>
      </c>
    </row>
    <row r="39" spans="1:9">
      <c r="A39" s="10"/>
    </row>
    <row r="40" spans="1:9">
      <c r="A40" s="11" t="s">
        <v>7</v>
      </c>
      <c r="C40" t="e">
        <f>INT($C$14/($C$8+$C$17))</f>
        <v>#VALUE!</v>
      </c>
      <c r="G40" t="s">
        <v>24</v>
      </c>
      <c r="H40" s="40" t="str">
        <f>IF(Measure="MS","mm","inch")</f>
        <v>mm</v>
      </c>
      <c r="I40" s="5" t="e">
        <f>$C$14-(C40*$C$8)</f>
        <v>#VALUE!</v>
      </c>
    </row>
    <row r="41" spans="1:9">
      <c r="A41" s="11"/>
      <c r="I41" s="5"/>
    </row>
    <row r="43" spans="1:9">
      <c r="A43" s="9" t="s">
        <v>27</v>
      </c>
      <c r="C43">
        <v>0</v>
      </c>
      <c r="D43" t="s">
        <v>15</v>
      </c>
      <c r="E43" t="e">
        <f>INT(($C$13-(C43*($C$6+$C$17)))/($C$7+$C$17))</f>
        <v>#VALUE!</v>
      </c>
      <c r="F43" t="s">
        <v>14</v>
      </c>
      <c r="G43" t="s">
        <v>22</v>
      </c>
      <c r="H43" s="40" t="str">
        <f>IF(Measure="MS","mm","inch")</f>
        <v>mm</v>
      </c>
      <c r="I43" s="5" t="e">
        <f>$C$13-($C$6*C43)-($C$7*E43)</f>
        <v>#VALUE!</v>
      </c>
    </row>
    <row r="44" spans="1:9">
      <c r="A44" s="1"/>
      <c r="I44" s="5"/>
    </row>
    <row r="45" spans="1:9">
      <c r="A45" t="s">
        <v>19</v>
      </c>
      <c r="C45">
        <f>IF(C43&gt;0,INT($C$12/($C$7+$C$17)),0)</f>
        <v>0</v>
      </c>
      <c r="G45" t="s">
        <v>23</v>
      </c>
      <c r="H45" s="40" t="str">
        <f>IF(Measure="MS","mm","inch")</f>
        <v>mm</v>
      </c>
      <c r="I45" s="5">
        <f>IF(C45=0,0,$C$12-(C45*$C$7))</f>
        <v>0</v>
      </c>
    </row>
    <row r="46" spans="1:9">
      <c r="A46" t="s">
        <v>20</v>
      </c>
      <c r="C46" t="e">
        <f>IF(E43&gt;0,INT($C$12/($C$6+$C$17)),0)</f>
        <v>#VALUE!</v>
      </c>
      <c r="G46" t="s">
        <v>23</v>
      </c>
      <c r="H46" s="40" t="str">
        <f>IF(Measure="MS","mm","inch")</f>
        <v>mm</v>
      </c>
      <c r="I46" s="5" t="e">
        <f>IF(C46=0,0,$C$12-(C46*$C$6))</f>
        <v>#VALUE!</v>
      </c>
    </row>
    <row r="47" spans="1:9">
      <c r="A47" s="1"/>
      <c r="I47" s="5"/>
    </row>
    <row r="48" spans="1:9">
      <c r="A48" t="s">
        <v>8</v>
      </c>
      <c r="C48" t="e">
        <f>$C$40*((C43*C45)+(E43*C46))</f>
        <v>#VALUE!</v>
      </c>
      <c r="I48" s="5"/>
    </row>
    <row r="49" spans="1:9">
      <c r="A49" s="1"/>
      <c r="I49" s="5"/>
    </row>
    <row r="50" spans="1:9">
      <c r="A50" t="s">
        <v>26</v>
      </c>
      <c r="B50" s="40" t="str">
        <f>IF(Measure="MS","m3","cu.foot")</f>
        <v>m3</v>
      </c>
      <c r="C50" s="6" t="e">
        <f>$C$9*C48</f>
        <v>#VALUE!</v>
      </c>
      <c r="I50" s="5"/>
    </row>
    <row r="51" spans="1:9">
      <c r="A51" t="s">
        <v>25</v>
      </c>
      <c r="B51" s="40" t="str">
        <f>IF(Measure="MS","m3","cu.foot")</f>
        <v>m3</v>
      </c>
      <c r="C51" s="7" t="e">
        <f>IF($C$40=0,$C$15,IF(Measure="MS",((I43*$C$12*$C$14)+(I45*$C$6*C43*$C$14)+(I46*$C$7*E43*$C$14)+((C48/$C$40)*$C$6*$C$7*$I$40))/1000/1000/1000,((I43*$C$12*$C$14)+(I45*$C$6*C43*$C$14)+(I46*$C$7*E43*$C$14)+((C48/$C$40)*$C$6*$C$7*$I$40))/12/12/12))</f>
        <v>#VALUE!</v>
      </c>
      <c r="I51" s="5"/>
    </row>
    <row r="52" spans="1:9">
      <c r="B52" s="40" t="str">
        <f>IF(Measure="MS","m3","cu.foot")</f>
        <v>m3</v>
      </c>
      <c r="C52" s="6" t="e">
        <f>+C50+C51</f>
        <v>#VALUE!</v>
      </c>
      <c r="I52" s="5"/>
    </row>
    <row r="53" spans="1:9">
      <c r="A53" t="s">
        <v>11</v>
      </c>
      <c r="B53" s="40" t="str">
        <f>IF(Measure="MS","m3","cu.foot")</f>
        <v>m3</v>
      </c>
      <c r="C53" s="7" t="str">
        <f>$C$15</f>
        <v/>
      </c>
      <c r="I53" s="5"/>
    </row>
    <row r="54" spans="1:9">
      <c r="A54" t="s">
        <v>12</v>
      </c>
      <c r="B54" s="40" t="str">
        <f>IF(Measure="MS","m3","cu.foot")</f>
        <v>m3</v>
      </c>
      <c r="C54" s="6" t="e">
        <f>+C52-C53</f>
        <v>#VALUE!</v>
      </c>
      <c r="I54" s="5"/>
    </row>
    <row r="55" spans="1:9">
      <c r="A55" s="1"/>
      <c r="I55" s="5"/>
    </row>
    <row r="56" spans="1:9">
      <c r="A56" s="1"/>
      <c r="I56" s="5"/>
    </row>
    <row r="57" spans="1:9">
      <c r="A57" s="9" t="s">
        <v>18</v>
      </c>
      <c r="C57" t="e">
        <f>INT($C$13/(($C$6+$C$17)*1))</f>
        <v>#VALUE!</v>
      </c>
      <c r="D57" t="s">
        <v>15</v>
      </c>
      <c r="E57" t="e">
        <f>INT(($C$13-(C57*($C$6+$C$17)))/($C$7+$C$17))</f>
        <v>#VALUE!</v>
      </c>
      <c r="F57" t="s">
        <v>14</v>
      </c>
      <c r="G57" t="s">
        <v>22</v>
      </c>
      <c r="H57" s="40" t="str">
        <f>IF(Measure="MS","mm","inch")</f>
        <v>mm</v>
      </c>
      <c r="I57" s="5" t="e">
        <f>$C$13-($C$6*C57)-($C$7*E57)</f>
        <v>#VALUE!</v>
      </c>
    </row>
    <row r="58" spans="1:9">
      <c r="A58" s="1"/>
      <c r="I58" s="5"/>
    </row>
    <row r="59" spans="1:9">
      <c r="A59" t="s">
        <v>19</v>
      </c>
      <c r="C59" t="e">
        <f>IF(C57&gt;0,INT($C$12/($C$7+$C$17)),0)</f>
        <v>#VALUE!</v>
      </c>
      <c r="G59" t="s">
        <v>23</v>
      </c>
      <c r="H59" s="40" t="str">
        <f>IF(Measure="MS","mm","inch")</f>
        <v>mm</v>
      </c>
      <c r="I59" s="5" t="e">
        <f>IF(C59=0,0,$C$12-(C59*$C$7))</f>
        <v>#VALUE!</v>
      </c>
    </row>
    <row r="60" spans="1:9">
      <c r="A60" t="s">
        <v>20</v>
      </c>
      <c r="C60" t="e">
        <f>IF(E57&gt;0,INT($C$12/($C$6+$C$17)),0)</f>
        <v>#VALUE!</v>
      </c>
      <c r="G60" t="s">
        <v>23</v>
      </c>
      <c r="H60" s="40" t="str">
        <f>IF(Measure="MS","mm","inch")</f>
        <v>mm</v>
      </c>
      <c r="I60" s="5" t="e">
        <f>IF(C60=0,0,$C$12-(C60*$C$6))</f>
        <v>#VALUE!</v>
      </c>
    </row>
    <row r="61" spans="1:9">
      <c r="A61" s="1"/>
      <c r="I61" s="5"/>
    </row>
    <row r="62" spans="1:9">
      <c r="A62" t="s">
        <v>8</v>
      </c>
      <c r="C62" t="e">
        <f>$C$40*((C57*C59)+(E57*C60))</f>
        <v>#VALUE!</v>
      </c>
      <c r="I62" s="5"/>
    </row>
    <row r="63" spans="1:9">
      <c r="A63" s="1"/>
      <c r="I63" s="5"/>
    </row>
    <row r="64" spans="1:9">
      <c r="A64" t="s">
        <v>26</v>
      </c>
      <c r="B64" s="40" t="str">
        <f>IF(Measure="MS","m3","cu.foot")</f>
        <v>m3</v>
      </c>
      <c r="C64" s="6" t="e">
        <f>$C$9*C62</f>
        <v>#VALUE!</v>
      </c>
      <c r="I64" s="5"/>
    </row>
    <row r="65" spans="1:9">
      <c r="A65" t="s">
        <v>25</v>
      </c>
      <c r="B65" s="40" t="str">
        <f>IF(Measure="MS","m3","cu.foot")</f>
        <v>m3</v>
      </c>
      <c r="C65" s="7" t="e">
        <f>IF($C$40=0,$C$15,IF(Measure="MS",((I57*$C$12*$C$14)+(I59*$C$6*C57*$C$14)+(I60*$C$7*E57*$C$14)+((C62/$C$40)*$C$6*$C$7*$I$40))/1000/1000/1000,((I57*$C$12*$C$14)+(I59*$C$6*C57*$C$14)+(I60*$C$7*E57*$C$14)+((C62/$C$40)*$C$6*$C$7*$I$40))/12/12/12))</f>
        <v>#VALUE!</v>
      </c>
      <c r="I65" s="5"/>
    </row>
    <row r="66" spans="1:9">
      <c r="B66" s="40" t="str">
        <f>IF(Measure="MS","m3","cu.foot")</f>
        <v>m3</v>
      </c>
      <c r="C66" s="6" t="e">
        <f>+C64+C65</f>
        <v>#VALUE!</v>
      </c>
      <c r="I66" s="5"/>
    </row>
    <row r="67" spans="1:9">
      <c r="A67" t="s">
        <v>11</v>
      </c>
      <c r="B67" s="40" t="str">
        <f>IF(Measure="MS","m3","cu.foot")</f>
        <v>m3</v>
      </c>
      <c r="C67" s="7" t="str">
        <f>$C$15</f>
        <v/>
      </c>
      <c r="I67" s="5"/>
    </row>
    <row r="68" spans="1:9">
      <c r="A68" t="s">
        <v>12</v>
      </c>
      <c r="B68" s="40" t="str">
        <f>IF(Measure="MS","m3","cu.foot")</f>
        <v>m3</v>
      </c>
      <c r="C68" s="6" t="e">
        <f>+C66-C67</f>
        <v>#VALUE!</v>
      </c>
      <c r="I68" s="5"/>
    </row>
    <row r="69" spans="1:9">
      <c r="A69" s="1"/>
      <c r="I69" s="5"/>
    </row>
    <row r="70" spans="1:9">
      <c r="A70" s="1"/>
      <c r="I70" s="5"/>
    </row>
    <row r="71" spans="1:9">
      <c r="A71" s="9" t="s">
        <v>28</v>
      </c>
      <c r="C71" t="e">
        <f>INT($C$13/(($C$6+$C$17)*2))</f>
        <v>#VALUE!</v>
      </c>
      <c r="D71" t="s">
        <v>15</v>
      </c>
      <c r="E71" t="e">
        <f>INT(($C$13-(C71*($C$6+$C$17)))/($C$7+$C$17))</f>
        <v>#VALUE!</v>
      </c>
      <c r="F71" t="s">
        <v>14</v>
      </c>
      <c r="G71" t="s">
        <v>22</v>
      </c>
      <c r="H71" s="40" t="str">
        <f>IF(Measure="MS","mm","inch")</f>
        <v>mm</v>
      </c>
      <c r="I71" s="5" t="e">
        <f>$C$13-($C$6*C71)-($C$7*E71)</f>
        <v>#VALUE!</v>
      </c>
    </row>
    <row r="72" spans="1:9">
      <c r="A72" s="1"/>
      <c r="I72" s="5"/>
    </row>
    <row r="73" spans="1:9">
      <c r="A73" t="s">
        <v>19</v>
      </c>
      <c r="C73" t="e">
        <f>IF(C71&gt;0,INT($C$12/($C$7+$C$17)),0)</f>
        <v>#VALUE!</v>
      </c>
      <c r="G73" t="s">
        <v>23</v>
      </c>
      <c r="H73" s="40" t="str">
        <f>IF(Measure="MS","mm","inch")</f>
        <v>mm</v>
      </c>
      <c r="I73" s="5" t="e">
        <f>IF(C73=0,0,$C$12-(C73*$C$7))</f>
        <v>#VALUE!</v>
      </c>
    </row>
    <row r="74" spans="1:9">
      <c r="A74" t="s">
        <v>20</v>
      </c>
      <c r="C74" t="e">
        <f>IF(E71&gt;0,INT($C$12/($C$6+$C$17)),0)</f>
        <v>#VALUE!</v>
      </c>
      <c r="G74" t="s">
        <v>23</v>
      </c>
      <c r="H74" s="40" t="str">
        <f>IF(Measure="MS","mm","inch")</f>
        <v>mm</v>
      </c>
      <c r="I74" s="5" t="e">
        <f>IF(C74=0,0,$C$12-(C74*$C$6))</f>
        <v>#VALUE!</v>
      </c>
    </row>
    <row r="75" spans="1:9">
      <c r="A75" s="1"/>
      <c r="I75" s="5"/>
    </row>
    <row r="76" spans="1:9">
      <c r="A76" t="s">
        <v>8</v>
      </c>
      <c r="C76" t="e">
        <f>$C$40*((C71*C73)+(E71*C74))</f>
        <v>#VALUE!</v>
      </c>
      <c r="I76" s="5"/>
    </row>
    <row r="77" spans="1:9">
      <c r="A77" s="1"/>
      <c r="I77" s="5"/>
    </row>
    <row r="78" spans="1:9">
      <c r="A78" t="s">
        <v>26</v>
      </c>
      <c r="B78" s="40" t="str">
        <f>IF(Measure="MS","m3","cu.foot")</f>
        <v>m3</v>
      </c>
      <c r="C78" s="6" t="e">
        <f>$C$9*C76</f>
        <v>#VALUE!</v>
      </c>
      <c r="I78" s="5"/>
    </row>
    <row r="79" spans="1:9">
      <c r="A79" t="s">
        <v>25</v>
      </c>
      <c r="B79" s="40" t="str">
        <f>IF(Measure="MS","m3","cu.foot")</f>
        <v>m3</v>
      </c>
      <c r="C79" s="7" t="e">
        <f>IF($C$40=0,$C$15,IF(Measure="MS",((I71*$C$12*$C$14)+(I73*$C$6*C71*$C$14)+(I74*$C$7*E71*$C$14)+((C76/$C$40)*$C$6*$C$7*$I$40))/1000/1000/1000,((I71*$C$12*$C$14)+(I73*$C$6*C71*$C$14)+(I74*$C$7*E71*$C$14)+((C76/$C$40)*$C$6*$C$7*$I$40))/12/12/12))</f>
        <v>#VALUE!</v>
      </c>
      <c r="I79" s="5"/>
    </row>
    <row r="80" spans="1:9">
      <c r="B80" s="40" t="str">
        <f>IF(Measure="MS","m3","cu.foot")</f>
        <v>m3</v>
      </c>
      <c r="C80" s="6" t="e">
        <f>+C78+C79</f>
        <v>#VALUE!</v>
      </c>
      <c r="I80" s="5"/>
    </row>
    <row r="81" spans="1:9">
      <c r="A81" t="s">
        <v>11</v>
      </c>
      <c r="B81" s="40" t="str">
        <f>IF(Measure="MS","m3","cu.foot")</f>
        <v>m3</v>
      </c>
      <c r="C81" s="7" t="str">
        <f>$C$15</f>
        <v/>
      </c>
      <c r="I81" s="5"/>
    </row>
    <row r="82" spans="1:9">
      <c r="A82" t="s">
        <v>12</v>
      </c>
      <c r="B82" s="40" t="str">
        <f>IF(Measure="MS","m3","cu.foot")</f>
        <v>m3</v>
      </c>
      <c r="C82" s="6" t="e">
        <f>+C80-C81</f>
        <v>#VALUE!</v>
      </c>
      <c r="I82" s="5"/>
    </row>
    <row r="83" spans="1:9">
      <c r="A83" s="1"/>
      <c r="I83" s="5"/>
    </row>
    <row r="84" spans="1:9">
      <c r="A84" s="1"/>
      <c r="I84" s="5"/>
    </row>
    <row r="85" spans="1:9">
      <c r="A85" s="9" t="s">
        <v>29</v>
      </c>
      <c r="C85" t="e">
        <f>INT($C$13/(($C$6+$C$17)*3))</f>
        <v>#VALUE!</v>
      </c>
      <c r="D85" t="s">
        <v>15</v>
      </c>
      <c r="E85" t="e">
        <f>INT(($C$13-(C85*($C$6+$C$17)))/($C$7+$C$17))</f>
        <v>#VALUE!</v>
      </c>
      <c r="F85" t="s">
        <v>14</v>
      </c>
      <c r="G85" t="s">
        <v>22</v>
      </c>
      <c r="H85" s="40" t="str">
        <f>IF(Measure="MS","mm","inch")</f>
        <v>mm</v>
      </c>
      <c r="I85" s="5" t="e">
        <f>$C$13-($C$6*C85)-($C$7*E85)</f>
        <v>#VALUE!</v>
      </c>
    </row>
    <row r="86" spans="1:9">
      <c r="A86" s="1"/>
      <c r="I86" s="5"/>
    </row>
    <row r="87" spans="1:9">
      <c r="A87" t="s">
        <v>19</v>
      </c>
      <c r="C87" t="e">
        <f>IF(C85&gt;0,INT($C$12/($C$7+$C$17)),0)</f>
        <v>#VALUE!</v>
      </c>
      <c r="G87" t="s">
        <v>23</v>
      </c>
      <c r="H87" s="40" t="str">
        <f>IF(Measure="MS","mm","inch")</f>
        <v>mm</v>
      </c>
      <c r="I87" s="5" t="e">
        <f>IF(C87=0,0,$C$12-(C87*$C$7))</f>
        <v>#VALUE!</v>
      </c>
    </row>
    <row r="88" spans="1:9">
      <c r="A88" t="s">
        <v>20</v>
      </c>
      <c r="C88" t="e">
        <f>IF(E85&gt;0,INT($C$12/($C$6+$C$17)),0)</f>
        <v>#VALUE!</v>
      </c>
      <c r="G88" t="s">
        <v>23</v>
      </c>
      <c r="H88" s="40" t="str">
        <f>IF(Measure="MS","mm","inch")</f>
        <v>mm</v>
      </c>
      <c r="I88" s="5" t="e">
        <f>IF(C88=0,0,$C$12-(C88*$C$6))</f>
        <v>#VALUE!</v>
      </c>
    </row>
    <row r="89" spans="1:9">
      <c r="A89" s="1"/>
      <c r="I89" s="5"/>
    </row>
    <row r="90" spans="1:9">
      <c r="A90" t="s">
        <v>8</v>
      </c>
      <c r="C90" t="e">
        <f>$C$40*((C85*C87)+(E85*C88))</f>
        <v>#VALUE!</v>
      </c>
      <c r="I90" s="5"/>
    </row>
    <row r="91" spans="1:9">
      <c r="A91" s="1"/>
      <c r="I91" s="5"/>
    </row>
    <row r="92" spans="1:9">
      <c r="A92" t="s">
        <v>26</v>
      </c>
      <c r="B92" s="40" t="str">
        <f>IF(Measure="MS","m3","cu.foot")</f>
        <v>m3</v>
      </c>
      <c r="C92" s="6" t="e">
        <f>$C$9*C90</f>
        <v>#VALUE!</v>
      </c>
      <c r="I92" s="5"/>
    </row>
    <row r="93" spans="1:9">
      <c r="A93" t="s">
        <v>25</v>
      </c>
      <c r="B93" s="40" t="str">
        <f>IF(Measure="MS","m3","cu.foot")</f>
        <v>m3</v>
      </c>
      <c r="C93" s="7" t="e">
        <f>IF($C$40=0,$C$15,IF(Measure="MS",((I85*$C$12*$C$14)+(I87*$C$6*C85*$C$14)+(I88*$C$7*E85*$C$14)+((C90/$C$40)*$C$6*$C$7*$I$40))/1000/1000/1000,((I85*$C$12*$C$14)+(I87*$C$6*C85*$C$14)+(I88*$C$7*E85*$C$14)+((C90/$C$40)*$C$6*$C$7*$I$40))/12/12/12))</f>
        <v>#VALUE!</v>
      </c>
      <c r="I93" s="5"/>
    </row>
    <row r="94" spans="1:9">
      <c r="B94" s="40" t="str">
        <f>IF(Measure="MS","m3","cu.foot")</f>
        <v>m3</v>
      </c>
      <c r="C94" s="6" t="e">
        <f>+C92+C93</f>
        <v>#VALUE!</v>
      </c>
      <c r="I94" s="5"/>
    </row>
    <row r="95" spans="1:9">
      <c r="A95" t="s">
        <v>11</v>
      </c>
      <c r="B95" s="40" t="str">
        <f>IF(Measure="MS","m3","cu.foot")</f>
        <v>m3</v>
      </c>
      <c r="C95" s="7" t="str">
        <f>$C$15</f>
        <v/>
      </c>
      <c r="I95" s="5"/>
    </row>
    <row r="96" spans="1:9">
      <c r="A96" t="s">
        <v>12</v>
      </c>
      <c r="B96" s="40" t="str">
        <f>IF(Measure="MS","m3","cu.foot")</f>
        <v>m3</v>
      </c>
      <c r="C96" s="6" t="e">
        <f>+C94-C95</f>
        <v>#VALUE!</v>
      </c>
      <c r="I96" s="5"/>
    </row>
    <row r="97" spans="1:9">
      <c r="A97" s="1"/>
      <c r="I97" s="5"/>
    </row>
    <row r="99" spans="1:9">
      <c r="A99" s="9" t="s">
        <v>30</v>
      </c>
      <c r="C99" t="e">
        <f>INT($C$13/(($C$6+$C$17)*4))</f>
        <v>#VALUE!</v>
      </c>
      <c r="D99" t="s">
        <v>15</v>
      </c>
      <c r="E99" t="e">
        <f>INT(($C$13-(C99*($C$6+$C$17)))/($C$7+$C$17))</f>
        <v>#VALUE!</v>
      </c>
      <c r="F99" t="s">
        <v>14</v>
      </c>
      <c r="G99" t="s">
        <v>22</v>
      </c>
      <c r="H99" s="40" t="str">
        <f>IF(Measure="MS","mm","inch")</f>
        <v>mm</v>
      </c>
      <c r="I99" s="5" t="e">
        <f>$C$13-($C$6*C99)-($C$7*E99)</f>
        <v>#VALUE!</v>
      </c>
    </row>
    <row r="100" spans="1:9">
      <c r="A100" s="1"/>
      <c r="I100" s="5"/>
    </row>
    <row r="101" spans="1:9">
      <c r="A101" t="s">
        <v>19</v>
      </c>
      <c r="C101" t="e">
        <f>IF(C99&gt;0,INT($C$12/($C$7+$C$17)),0)</f>
        <v>#VALUE!</v>
      </c>
      <c r="G101" t="s">
        <v>23</v>
      </c>
      <c r="H101" s="40" t="str">
        <f>IF(Measure="MS","mm","inch")</f>
        <v>mm</v>
      </c>
      <c r="I101" s="5" t="e">
        <f>IF(C101=0,0,$C$12-(C101*$C$7))</f>
        <v>#VALUE!</v>
      </c>
    </row>
    <row r="102" spans="1:9">
      <c r="A102" t="s">
        <v>20</v>
      </c>
      <c r="C102" t="e">
        <f>IF(E99&gt;0,INT($C$12/($C$6+$C$17)),0)</f>
        <v>#VALUE!</v>
      </c>
      <c r="G102" t="s">
        <v>23</v>
      </c>
      <c r="H102" s="40" t="str">
        <f>IF(Measure="MS","mm","inch")</f>
        <v>mm</v>
      </c>
      <c r="I102" s="5" t="e">
        <f>IF(C102=0,0,$C$12-(C102*$C$6))</f>
        <v>#VALUE!</v>
      </c>
    </row>
    <row r="103" spans="1:9">
      <c r="A103" s="1"/>
      <c r="I103" s="5"/>
    </row>
    <row r="104" spans="1:9">
      <c r="A104" t="s">
        <v>8</v>
      </c>
      <c r="C104" t="e">
        <f>$C$40*((C99*C101)+(E99*C102))</f>
        <v>#VALUE!</v>
      </c>
      <c r="I104" s="5"/>
    </row>
    <row r="105" spans="1:9">
      <c r="A105" s="1"/>
      <c r="I105" s="5"/>
    </row>
    <row r="106" spans="1:9">
      <c r="A106" t="s">
        <v>26</v>
      </c>
      <c r="B106" s="40" t="str">
        <f>IF(Measure="MS","m3","cu.foot")</f>
        <v>m3</v>
      </c>
      <c r="C106" s="6" t="e">
        <f>$C$9*C104</f>
        <v>#VALUE!</v>
      </c>
      <c r="I106" s="5"/>
    </row>
    <row r="107" spans="1:9">
      <c r="A107" t="s">
        <v>25</v>
      </c>
      <c r="B107" s="40" t="str">
        <f>IF(Measure="MS","m3","cu.foot")</f>
        <v>m3</v>
      </c>
      <c r="C107" s="7" t="e">
        <f>IF($C$40=0,$C$15,IF(Measure="MS",((I99*$C$12*$C$14)+(I101*$C$6*C99*$C$14)+(I102*$C$7*E99*$C$14)+((C104/$C$40)*$C$6*$C$7*$I$40))/1000/1000/1000,((I99*$C$12*$C$14)+(I101*$C$6*C99*$C$14)+(I102*$C$7*E99*$C$14)+((C104/$C$40)*$C$6*$C$7*$I$40))/12/12/12))</f>
        <v>#VALUE!</v>
      </c>
      <c r="I107" s="5"/>
    </row>
    <row r="108" spans="1:9">
      <c r="B108" s="40" t="str">
        <f>IF(Measure="MS","m3","cu.foot")</f>
        <v>m3</v>
      </c>
      <c r="C108" s="6" t="e">
        <f>+C106+C107</f>
        <v>#VALUE!</v>
      </c>
      <c r="I108" s="5"/>
    </row>
    <row r="109" spans="1:9">
      <c r="A109" t="s">
        <v>11</v>
      </c>
      <c r="B109" s="40" t="str">
        <f>IF(Measure="MS","m3","cu.foot")</f>
        <v>m3</v>
      </c>
      <c r="C109" s="7" t="str">
        <f>$C$15</f>
        <v/>
      </c>
      <c r="I109" s="5"/>
    </row>
    <row r="110" spans="1:9">
      <c r="A110" t="s">
        <v>12</v>
      </c>
      <c r="B110" s="40" t="str">
        <f>IF(Measure="MS","m3","cu.foot")</f>
        <v>m3</v>
      </c>
      <c r="C110" s="6" t="e">
        <f>+C108-C109</f>
        <v>#VALUE!</v>
      </c>
      <c r="I110" s="5"/>
    </row>
    <row r="113" spans="1:9">
      <c r="A113" s="9" t="s">
        <v>31</v>
      </c>
      <c r="C113" t="e">
        <f>INT($C$13/(($C$6+$C$17)*5))</f>
        <v>#VALUE!</v>
      </c>
      <c r="D113" t="s">
        <v>15</v>
      </c>
      <c r="E113" t="e">
        <f>INT(($C$13-(C113*($C$6+$C$17)))/($C$7+$C$17))</f>
        <v>#VALUE!</v>
      </c>
      <c r="F113" t="s">
        <v>14</v>
      </c>
      <c r="G113" t="s">
        <v>22</v>
      </c>
      <c r="H113" s="40" t="str">
        <f>IF(Measure="MS","mm","inch")</f>
        <v>mm</v>
      </c>
      <c r="I113" s="5" t="e">
        <f>$C$13-($C$6*C113)-($C$7*E113)</f>
        <v>#VALUE!</v>
      </c>
    </row>
    <row r="114" spans="1:9">
      <c r="A114" s="1"/>
      <c r="I114" s="5"/>
    </row>
    <row r="115" spans="1:9">
      <c r="A115" t="s">
        <v>19</v>
      </c>
      <c r="C115" t="e">
        <f>IF(C113&gt;0,INT($C$12/($C$7+$C$17)),0)</f>
        <v>#VALUE!</v>
      </c>
      <c r="G115" t="s">
        <v>23</v>
      </c>
      <c r="H115" s="40" t="str">
        <f>IF(Measure="MS","mm","inch")</f>
        <v>mm</v>
      </c>
      <c r="I115" s="5" t="e">
        <f>IF(C115=0,0,$C$12-(C115*$C$7))</f>
        <v>#VALUE!</v>
      </c>
    </row>
    <row r="116" spans="1:9">
      <c r="A116" t="s">
        <v>20</v>
      </c>
      <c r="C116" t="e">
        <f>IF(E113&gt;0,INT($C$12/($C$6+$C$17)),0)</f>
        <v>#VALUE!</v>
      </c>
      <c r="G116" t="s">
        <v>23</v>
      </c>
      <c r="H116" s="40" t="str">
        <f>IF(Measure="MS","mm","inch")</f>
        <v>mm</v>
      </c>
      <c r="I116" s="5" t="e">
        <f>IF(C116=0,0,$C$12-(C116*$C$6))</f>
        <v>#VALUE!</v>
      </c>
    </row>
    <row r="117" spans="1:9">
      <c r="A117" s="1"/>
      <c r="I117" s="5"/>
    </row>
    <row r="118" spans="1:9">
      <c r="A118" t="s">
        <v>8</v>
      </c>
      <c r="C118" t="e">
        <f>$C$40*((C113*C115)+(E113*C116))</f>
        <v>#VALUE!</v>
      </c>
      <c r="I118" s="5"/>
    </row>
    <row r="119" spans="1:9">
      <c r="A119" s="1"/>
      <c r="I119" s="5"/>
    </row>
    <row r="120" spans="1:9">
      <c r="A120" t="s">
        <v>26</v>
      </c>
      <c r="B120" s="40" t="str">
        <f>IF(Measure="MS","m3","cu.foot")</f>
        <v>m3</v>
      </c>
      <c r="C120" s="6" t="e">
        <f>$C$9*C118</f>
        <v>#VALUE!</v>
      </c>
      <c r="I120" s="5"/>
    </row>
    <row r="121" spans="1:9">
      <c r="A121" t="s">
        <v>25</v>
      </c>
      <c r="B121" s="40" t="str">
        <f>IF(Measure="MS","m3","cu.foot")</f>
        <v>m3</v>
      </c>
      <c r="C121" s="7" t="e">
        <f>IF($C$40=0,$C$15,IF(Measure="MS",((I113*$C$12*$C$14)+(I115*$C$6*C113*$C$14)+(I116*$C$7*E113*$C$14)+((C118/$C$40)*$C$6*$C$7*$I$40))/1000/1000/1000,((I113*$C$12*$C$14)+(I115*$C$6*C113*$C$14)+(I116*$C$7*E113*$C$14)+((C118/$C$40)*$C$6*$C$7*$I$40))/12/12/12))</f>
        <v>#VALUE!</v>
      </c>
      <c r="I121" s="5"/>
    </row>
    <row r="122" spans="1:9">
      <c r="B122" s="40" t="str">
        <f>IF(Measure="MS","m3","cu.foot")</f>
        <v>m3</v>
      </c>
      <c r="C122" s="6" t="e">
        <f>+C120+C121</f>
        <v>#VALUE!</v>
      </c>
      <c r="I122" s="5"/>
    </row>
    <row r="123" spans="1:9">
      <c r="A123" t="s">
        <v>11</v>
      </c>
      <c r="B123" s="40" t="str">
        <f>IF(Measure="MS","m3","cu.foot")</f>
        <v>m3</v>
      </c>
      <c r="C123" s="7" t="str">
        <f>$C$15</f>
        <v/>
      </c>
      <c r="I123" s="5"/>
    </row>
    <row r="124" spans="1:9">
      <c r="A124" t="s">
        <v>12</v>
      </c>
      <c r="B124" s="40" t="str">
        <f>IF(Measure="MS","m3","cu.foot")</f>
        <v>m3</v>
      </c>
      <c r="C124" s="6" t="e">
        <f>+C122-C123</f>
        <v>#VALUE!</v>
      </c>
      <c r="I124" s="5"/>
    </row>
    <row r="127" spans="1:9">
      <c r="A127" s="9" t="s">
        <v>84</v>
      </c>
      <c r="C127" t="e">
        <f>INT($C$13/(($C$6+$C$17)*6))</f>
        <v>#VALUE!</v>
      </c>
      <c r="D127" t="s">
        <v>15</v>
      </c>
      <c r="E127" t="e">
        <f>INT(($C$13-(C127*($C$6+$C$17)))/($C$7+$C$17))</f>
        <v>#VALUE!</v>
      </c>
      <c r="F127" t="s">
        <v>14</v>
      </c>
      <c r="G127" t="s">
        <v>22</v>
      </c>
      <c r="H127" s="40" t="str">
        <f>IF(Measure="MS","mm","inch")</f>
        <v>mm</v>
      </c>
      <c r="I127" s="5" t="e">
        <f>$C$13-($C$6*C127)-($C$7*E127)</f>
        <v>#VALUE!</v>
      </c>
    </row>
    <row r="128" spans="1:9">
      <c r="A128" s="1"/>
      <c r="I128" s="5"/>
    </row>
    <row r="129" spans="1:9">
      <c r="A129" t="s">
        <v>19</v>
      </c>
      <c r="C129" t="e">
        <f>IF(C127&gt;0,INT($C$12/($C$7+$C$17)),0)</f>
        <v>#VALUE!</v>
      </c>
      <c r="G129" t="s">
        <v>23</v>
      </c>
      <c r="H129" s="40" t="str">
        <f>IF(Measure="MS","mm","inch")</f>
        <v>mm</v>
      </c>
      <c r="I129" s="5" t="e">
        <f>IF(C129=0,0,$C$12-(C129*$C$7))</f>
        <v>#VALUE!</v>
      </c>
    </row>
    <row r="130" spans="1:9">
      <c r="A130" t="s">
        <v>20</v>
      </c>
      <c r="C130" t="e">
        <f>IF(E127&gt;0,INT($C$12/($C$6+$C$17)),0)</f>
        <v>#VALUE!</v>
      </c>
      <c r="G130" t="s">
        <v>23</v>
      </c>
      <c r="H130" s="40" t="str">
        <f>IF(Measure="MS","mm","inch")</f>
        <v>mm</v>
      </c>
      <c r="I130" s="5" t="e">
        <f>IF(C130=0,0,$C$12-(C130*$C$6))</f>
        <v>#VALUE!</v>
      </c>
    </row>
    <row r="131" spans="1:9">
      <c r="A131" s="1"/>
      <c r="I131" s="5"/>
    </row>
    <row r="132" spans="1:9">
      <c r="A132" t="s">
        <v>8</v>
      </c>
      <c r="C132" t="e">
        <f>$C$40*((C127*C129)+(E127*C130))</f>
        <v>#VALUE!</v>
      </c>
      <c r="I132" s="5"/>
    </row>
    <row r="133" spans="1:9">
      <c r="A133" s="1"/>
      <c r="I133" s="5"/>
    </row>
    <row r="134" spans="1:9">
      <c r="A134" t="s">
        <v>26</v>
      </c>
      <c r="B134" s="40" t="str">
        <f>IF(Measure="MS","m3","cu.foot")</f>
        <v>m3</v>
      </c>
      <c r="C134" s="6" t="e">
        <f>$C$9*C132</f>
        <v>#VALUE!</v>
      </c>
      <c r="I134" s="5"/>
    </row>
    <row r="135" spans="1:9">
      <c r="A135" t="s">
        <v>25</v>
      </c>
      <c r="B135" s="40" t="str">
        <f>IF(Measure="MS","m3","cu.foot")</f>
        <v>m3</v>
      </c>
      <c r="C135" s="7" t="e">
        <f>IF($C$40=0,$C$15,IF(Measure="MS",((I127*$C$12*$C$14)+(I129*$C$6*C127*$C$14)+(I130*$C$7*E127*$C$14)+((C132/$C$40)*$C$6*$C$7*$I$40))/1000/1000/1000,((I127*$C$12*$C$14)+(I129*$C$6*C127*$C$14)+(I130*$C$7*E127*$C$14)+((C132/$C$40)*$C$6*$C$7*$I$40))/12/12/12))</f>
        <v>#VALUE!</v>
      </c>
      <c r="I135" s="5"/>
    </row>
    <row r="136" spans="1:9">
      <c r="B136" s="40" t="str">
        <f>IF(Measure="MS","m3","cu.foot")</f>
        <v>m3</v>
      </c>
      <c r="C136" s="6" t="e">
        <f>+C134+C135</f>
        <v>#VALUE!</v>
      </c>
      <c r="I136" s="5"/>
    </row>
    <row r="137" spans="1:9">
      <c r="A137" t="s">
        <v>11</v>
      </c>
      <c r="B137" s="40" t="str">
        <f>IF(Measure="MS","m3","cu.foot")</f>
        <v>m3</v>
      </c>
      <c r="C137" s="7" t="str">
        <f>$C$15</f>
        <v/>
      </c>
      <c r="I137" s="5"/>
    </row>
    <row r="138" spans="1:9">
      <c r="A138" t="s">
        <v>12</v>
      </c>
      <c r="B138" s="40" t="str">
        <f>IF(Measure="MS","m3","cu.foot")</f>
        <v>m3</v>
      </c>
      <c r="C138" s="6" t="e">
        <f>+C136-C137</f>
        <v>#VALUE!</v>
      </c>
      <c r="I138" s="5"/>
    </row>
    <row r="141" spans="1:9">
      <c r="A141" t="s">
        <v>32</v>
      </c>
      <c r="C141" t="e">
        <f>IF(C54+C68+C82+C96+C110+C124+C138=0,MAX(C48,C62,C76,C90,C104,C118,C138),"Failure in calculation")</f>
        <v>#VALUE!</v>
      </c>
    </row>
  </sheetData>
  <sheetProtection password="C861" sheet="1" objects="1" scenarios="1"/>
  <phoneticPr fontId="2" type="noConversion"/>
  <pageMargins left="0.75" right="0.75" top="0.82" bottom="0.56999999999999995" header="0.5" footer="0.28999999999999998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"/>
  <sheetViews>
    <sheetView workbookViewId="0"/>
  </sheetViews>
  <sheetFormatPr defaultRowHeight="12.75"/>
  <cols>
    <col min="1" max="1" width="38" customWidth="1"/>
    <col min="2" max="2" width="6.7109375" customWidth="1"/>
    <col min="3" max="3" width="9" customWidth="1"/>
    <col min="4" max="6" width="3.42578125" customWidth="1"/>
    <col min="7" max="7" width="32.85546875" customWidth="1"/>
    <col min="8" max="8" width="5.140625" customWidth="1"/>
    <col min="9" max="9" width="8.42578125" customWidth="1"/>
    <col min="10" max="10" width="12" bestFit="1" customWidth="1"/>
  </cols>
  <sheetData>
    <row r="1" spans="1:6" ht="15.75">
      <c r="A1" s="15" t="s">
        <v>75</v>
      </c>
    </row>
    <row r="3" spans="1:6">
      <c r="A3" s="10" t="s">
        <v>46</v>
      </c>
    </row>
    <row r="5" spans="1:6">
      <c r="A5" s="13" t="str">
        <f>S2_type&amp;" "&amp;LOWER(S2_box)&amp;" box"</f>
        <v xml:space="preserve">  box</v>
      </c>
    </row>
    <row r="6" spans="1:6">
      <c r="A6" s="4" t="s">
        <v>3</v>
      </c>
      <c r="B6" s="40" t="str">
        <f>IF(Measure="MS","mm","inch")</f>
        <v>mm</v>
      </c>
      <c r="C6" s="5">
        <f>N(S2_box_l)</f>
        <v>0</v>
      </c>
      <c r="D6" s="5"/>
      <c r="E6" s="5"/>
      <c r="F6" s="5"/>
    </row>
    <row r="7" spans="1:6">
      <c r="A7" s="4" t="s">
        <v>4</v>
      </c>
      <c r="B7" s="40" t="str">
        <f>IF(Measure="MS","mm","inch")</f>
        <v>mm</v>
      </c>
      <c r="C7" s="5">
        <f>N(S2_box_w)</f>
        <v>0</v>
      </c>
      <c r="D7" s="5"/>
      <c r="E7" s="5"/>
      <c r="F7" s="5"/>
    </row>
    <row r="8" spans="1:6">
      <c r="A8" s="4" t="s">
        <v>80</v>
      </c>
      <c r="B8" s="40" t="str">
        <f>IF(Measure="MS","mm","inch")</f>
        <v>mm</v>
      </c>
      <c r="C8" s="5">
        <f>N(S2_box_ch)</f>
        <v>0</v>
      </c>
      <c r="D8" s="5"/>
      <c r="E8" s="5"/>
      <c r="F8" s="5"/>
    </row>
    <row r="9" spans="1:6">
      <c r="A9" s="1" t="s">
        <v>6</v>
      </c>
      <c r="B9" s="40" t="str">
        <f>IF(Measure="MS","m3","cu.foot")</f>
        <v>m3</v>
      </c>
      <c r="C9" s="6">
        <f>IF(Measure="MS",C6*C7*C8/1000/1000/1000,C6*C7*C8/12/12/12)</f>
        <v>0</v>
      </c>
      <c r="D9" s="6"/>
      <c r="E9" s="6"/>
      <c r="F9" s="6"/>
    </row>
    <row r="11" spans="1:6">
      <c r="A11" s="13" t="str">
        <f>S2_trans_return&amp;" used for returning"</f>
        <v xml:space="preserve"> used for returning</v>
      </c>
      <c r="B11" s="3"/>
    </row>
    <row r="12" spans="1:6">
      <c r="A12" s="4" t="s">
        <v>3</v>
      </c>
      <c r="B12" s="40" t="str">
        <f>IF(Measure="MS","mm","inch")</f>
        <v>mm</v>
      </c>
      <c r="C12" s="5">
        <f>N(S2_return_l)</f>
        <v>0</v>
      </c>
      <c r="D12" s="5"/>
      <c r="E12" s="5"/>
      <c r="F12" s="5"/>
    </row>
    <row r="13" spans="1:6">
      <c r="A13" s="4" t="s">
        <v>4</v>
      </c>
      <c r="B13" s="40" t="str">
        <f>IF(Measure="MS","mm","inch")</f>
        <v>mm</v>
      </c>
      <c r="C13" s="5">
        <f>N(S2_return_w)</f>
        <v>0</v>
      </c>
      <c r="D13" s="5"/>
      <c r="E13" s="5"/>
      <c r="F13" s="5"/>
    </row>
    <row r="14" spans="1:6">
      <c r="A14" s="4" t="s">
        <v>5</v>
      </c>
      <c r="B14" s="40" t="str">
        <f>IF(Measure="MS","mm","inch")</f>
        <v>mm</v>
      </c>
      <c r="C14" s="5">
        <f>N(S2_return_h)</f>
        <v>0</v>
      </c>
      <c r="D14" s="5"/>
      <c r="E14" s="5"/>
      <c r="F14" s="5"/>
    </row>
    <row r="15" spans="1:6">
      <c r="A15" s="4" t="s">
        <v>6</v>
      </c>
      <c r="B15" s="40" t="str">
        <f>IF(Measure="MS","m3","cu.foot")</f>
        <v>m3</v>
      </c>
      <c r="C15" s="6">
        <f>N(S2_return_vol)</f>
        <v>0</v>
      </c>
      <c r="D15" s="6"/>
      <c r="E15" s="6"/>
      <c r="F15" s="6"/>
    </row>
    <row r="16" spans="1:6">
      <c r="A16" s="4"/>
      <c r="B16" s="3"/>
      <c r="C16" s="6"/>
      <c r="D16" s="6"/>
      <c r="E16" s="6"/>
      <c r="F16" s="6"/>
    </row>
    <row r="17" spans="1:9">
      <c r="A17" s="3" t="s">
        <v>21</v>
      </c>
      <c r="B17" s="40" t="str">
        <f>IF(Measure="MS","mm","inch")</f>
        <v>mm</v>
      </c>
      <c r="C17" s="5">
        <f>S2_tolerance</f>
        <v>5</v>
      </c>
      <c r="D17" s="6"/>
      <c r="E17" s="6"/>
      <c r="F17" s="6"/>
    </row>
    <row r="18" spans="1:9">
      <c r="A18" s="3"/>
      <c r="B18" s="3"/>
      <c r="C18" s="5"/>
      <c r="D18" s="6"/>
      <c r="E18" s="6"/>
      <c r="F18" s="6"/>
    </row>
    <row r="20" spans="1:9">
      <c r="A20" s="2" t="s">
        <v>10</v>
      </c>
      <c r="B20" s="3"/>
    </row>
    <row r="21" spans="1:9">
      <c r="A21" s="12" t="s">
        <v>45</v>
      </c>
      <c r="B21" s="3"/>
    </row>
    <row r="23" spans="1:9">
      <c r="A23" t="s">
        <v>16</v>
      </c>
      <c r="C23">
        <f>INT($C$13/($C$6+$C$17))</f>
        <v>0</v>
      </c>
      <c r="G23" t="s">
        <v>22</v>
      </c>
      <c r="H23" s="40" t="str">
        <f>IF(Measure="MS","mm","inch")</f>
        <v>mm</v>
      </c>
      <c r="I23" s="5">
        <f>$C$13-(C23*$C$6)</f>
        <v>0</v>
      </c>
    </row>
    <row r="24" spans="1:9">
      <c r="A24" t="s">
        <v>17</v>
      </c>
      <c r="C24">
        <f>INT($C$12/($C$7+$C$17))</f>
        <v>0</v>
      </c>
      <c r="G24" t="s">
        <v>23</v>
      </c>
      <c r="H24" s="40" t="str">
        <f>IF(Measure="MS","mm","inch")</f>
        <v>mm</v>
      </c>
      <c r="I24" s="5">
        <f>$C$12-(C24*$C$7)</f>
        <v>0</v>
      </c>
    </row>
    <row r="25" spans="1:9">
      <c r="A25" t="s">
        <v>7</v>
      </c>
      <c r="C25">
        <f>INT($C$14/($C$8+$C$17))</f>
        <v>0</v>
      </c>
      <c r="G25" t="s">
        <v>24</v>
      </c>
      <c r="H25" s="40" t="str">
        <f>IF(Measure="MS","mm","inch")</f>
        <v>mm</v>
      </c>
      <c r="I25" s="5">
        <f>$C$14-(C25*$C$8)</f>
        <v>0</v>
      </c>
    </row>
    <row r="27" spans="1:9">
      <c r="A27" t="s">
        <v>8</v>
      </c>
      <c r="C27">
        <f>+C23*C24*C25</f>
        <v>0</v>
      </c>
    </row>
    <row r="29" spans="1:9">
      <c r="A29" t="s">
        <v>26</v>
      </c>
      <c r="B29" s="40" t="str">
        <f>IF(Measure="MS","m3","cu.foot")</f>
        <v>m3</v>
      </c>
      <c r="C29" s="6">
        <f>+C9*C27</f>
        <v>0</v>
      </c>
      <c r="D29" s="6"/>
      <c r="E29" s="6"/>
      <c r="F29" s="6"/>
    </row>
    <row r="30" spans="1:9">
      <c r="A30" t="s">
        <v>25</v>
      </c>
      <c r="B30" s="40" t="str">
        <f>IF(Measure="MS","m3","cu.foot")</f>
        <v>m3</v>
      </c>
      <c r="C30" s="7">
        <f>IF(Measure="MS",((I23*(C12-I24)*C14)+(I24*C13*C14)+((C6*C7*(C23*C24)*I25)))/1000/1000/1000,((I23*(C12-I24)*C14)+(I24*C13*C14)+((C6*C7*(C23*C24)*I25)))/12/12/12)</f>
        <v>0</v>
      </c>
      <c r="D30" s="8"/>
      <c r="E30" s="8"/>
      <c r="F30" s="8"/>
    </row>
    <row r="31" spans="1:9">
      <c r="B31" s="40" t="str">
        <f>IF(Measure="MS","m3","cu.foot")</f>
        <v>m3</v>
      </c>
      <c r="C31" s="6">
        <f>+C29+C30</f>
        <v>0</v>
      </c>
      <c r="D31" s="6"/>
      <c r="E31" s="6"/>
      <c r="F31" s="6"/>
    </row>
    <row r="32" spans="1:9">
      <c r="A32" t="s">
        <v>11</v>
      </c>
      <c r="B32" s="40" t="str">
        <f>IF(Measure="MS","m3","cu.foot")</f>
        <v>m3</v>
      </c>
      <c r="C32" s="7">
        <f>+C15</f>
        <v>0</v>
      </c>
      <c r="D32" s="8"/>
      <c r="E32" s="8"/>
      <c r="F32" s="8"/>
    </row>
    <row r="33" spans="1:9">
      <c r="A33" t="s">
        <v>12</v>
      </c>
      <c r="B33" s="40" t="str">
        <f>IF(Measure="MS","m3","cu.foot")</f>
        <v>m3</v>
      </c>
      <c r="C33" s="6">
        <f>+C31-C32</f>
        <v>0</v>
      </c>
      <c r="D33" s="6"/>
      <c r="E33" s="6"/>
      <c r="F33" s="6"/>
    </row>
    <row r="36" spans="1:9">
      <c r="A36" s="10" t="s">
        <v>13</v>
      </c>
    </row>
    <row r="37" spans="1:9">
      <c r="A37" s="12" t="s">
        <v>44</v>
      </c>
    </row>
    <row r="38" spans="1:9">
      <c r="A38" s="12" t="s">
        <v>83</v>
      </c>
    </row>
    <row r="39" spans="1:9">
      <c r="A39" s="10"/>
    </row>
    <row r="40" spans="1:9">
      <c r="A40" s="11" t="s">
        <v>7</v>
      </c>
      <c r="C40">
        <f>INT($C$14/($C$8+$C$17))</f>
        <v>0</v>
      </c>
      <c r="G40" t="s">
        <v>24</v>
      </c>
      <c r="H40" s="40" t="str">
        <f>IF(Measure="MS","mm","inch")</f>
        <v>mm</v>
      </c>
      <c r="I40" s="5">
        <f>$C$14-(C40*$C$8)</f>
        <v>0</v>
      </c>
    </row>
    <row r="41" spans="1:9">
      <c r="A41" s="11"/>
      <c r="I41" s="5"/>
    </row>
    <row r="43" spans="1:9">
      <c r="A43" s="9" t="s">
        <v>27</v>
      </c>
      <c r="C43">
        <v>0</v>
      </c>
      <c r="D43" t="s">
        <v>15</v>
      </c>
      <c r="E43">
        <f>INT(($C$13-(C43*($C$6+$C$17)))/($C$7+$C$17))</f>
        <v>0</v>
      </c>
      <c r="F43" t="s">
        <v>14</v>
      </c>
      <c r="G43" t="s">
        <v>22</v>
      </c>
      <c r="H43" s="40" t="str">
        <f>IF(Measure="MS","mm","inch")</f>
        <v>mm</v>
      </c>
      <c r="I43" s="5">
        <f>$C$13-($C$6*C43)-($C$7*E43)</f>
        <v>0</v>
      </c>
    </row>
    <row r="44" spans="1:9">
      <c r="A44" s="1"/>
      <c r="I44" s="5"/>
    </row>
    <row r="45" spans="1:9">
      <c r="A45" t="s">
        <v>19</v>
      </c>
      <c r="C45">
        <f>IF(C43&gt;0,INT($C$12/($C$7+$C$17)),0)</f>
        <v>0</v>
      </c>
      <c r="G45" t="s">
        <v>23</v>
      </c>
      <c r="H45" s="40" t="str">
        <f>IF(Measure="MS","mm","inch")</f>
        <v>mm</v>
      </c>
      <c r="I45" s="5">
        <f>IF(C45=0,0,$C$12-(C45*$C$7))</f>
        <v>0</v>
      </c>
    </row>
    <row r="46" spans="1:9">
      <c r="A46" t="s">
        <v>20</v>
      </c>
      <c r="C46">
        <f>IF(E43&gt;0,INT($C$12/($C$6+$C$17)),0)</f>
        <v>0</v>
      </c>
      <c r="G46" t="s">
        <v>23</v>
      </c>
      <c r="H46" s="40" t="str">
        <f>IF(Measure="MS","mm","inch")</f>
        <v>mm</v>
      </c>
      <c r="I46" s="5">
        <f>IF(C46=0,0,$C$12-(C46*$C$6))</f>
        <v>0</v>
      </c>
    </row>
    <row r="47" spans="1:9">
      <c r="A47" s="1"/>
      <c r="I47" s="5"/>
    </row>
    <row r="48" spans="1:9">
      <c r="A48" t="s">
        <v>8</v>
      </c>
      <c r="C48">
        <f>$C$40*((C43*C45)+(E43*C46))</f>
        <v>0</v>
      </c>
      <c r="I48" s="5"/>
    </row>
    <row r="49" spans="1:9">
      <c r="A49" s="1"/>
      <c r="I49" s="5"/>
    </row>
    <row r="50" spans="1:9">
      <c r="A50" t="s">
        <v>26</v>
      </c>
      <c r="B50" s="40" t="str">
        <f>IF(Measure="MS","m3","cu.foot")</f>
        <v>m3</v>
      </c>
      <c r="C50" s="6">
        <f>$C$9*C48</f>
        <v>0</v>
      </c>
      <c r="I50" s="5"/>
    </row>
    <row r="51" spans="1:9">
      <c r="A51" t="s">
        <v>25</v>
      </c>
      <c r="B51" s="40" t="str">
        <f>IF(Measure="MS","m3","cu.foot")</f>
        <v>m3</v>
      </c>
      <c r="C51" s="7">
        <f>IF($C$40=0,$C$15,IF(Measure="MS",((I43*$C$12*$C$14)+(I45*$C$6*C43*$C$14)+(I46*$C$7*E43*$C$14)+((C48/$C$40)*$C$6*$C$7*$I$40))/1000/1000/1000,((I43*$C$12*$C$14)+(I45*$C$6*C43*$C$14)+(I46*$C$7*E43*$C$14)+((C48/$C$40)*$C$6*$C$7*$I$40))/12/12/12))</f>
        <v>0</v>
      </c>
      <c r="I51" s="5"/>
    </row>
    <row r="52" spans="1:9">
      <c r="B52" s="40" t="str">
        <f>IF(Measure="MS","m3","cu.foot")</f>
        <v>m3</v>
      </c>
      <c r="C52" s="6">
        <f>+C50+C51</f>
        <v>0</v>
      </c>
      <c r="I52" s="5"/>
    </row>
    <row r="53" spans="1:9">
      <c r="A53" t="s">
        <v>11</v>
      </c>
      <c r="B53" s="40" t="str">
        <f>IF(Measure="MS","m3","cu.foot")</f>
        <v>m3</v>
      </c>
      <c r="C53" s="7">
        <f>$C$15</f>
        <v>0</v>
      </c>
      <c r="I53" s="5"/>
    </row>
    <row r="54" spans="1:9">
      <c r="A54" t="s">
        <v>12</v>
      </c>
      <c r="B54" s="40" t="str">
        <f>IF(Measure="MS","m3","cu.foot")</f>
        <v>m3</v>
      </c>
      <c r="C54" s="6">
        <f>+C52-C53</f>
        <v>0</v>
      </c>
      <c r="I54" s="5"/>
    </row>
    <row r="55" spans="1:9">
      <c r="A55" s="1"/>
      <c r="I55" s="5"/>
    </row>
    <row r="56" spans="1:9">
      <c r="A56" s="1"/>
      <c r="I56" s="5"/>
    </row>
    <row r="57" spans="1:9">
      <c r="A57" s="9" t="s">
        <v>18</v>
      </c>
      <c r="C57">
        <f>INT($C$13/(($C$6+$C$17)*1))</f>
        <v>0</v>
      </c>
      <c r="D57" t="s">
        <v>15</v>
      </c>
      <c r="E57">
        <f>INT(($C$13-(C57*($C$6+$C$17)))/($C$7+$C$17))</f>
        <v>0</v>
      </c>
      <c r="F57" t="s">
        <v>14</v>
      </c>
      <c r="G57" t="s">
        <v>22</v>
      </c>
      <c r="H57" s="40" t="str">
        <f>IF(Measure="MS","mm","inch")</f>
        <v>mm</v>
      </c>
      <c r="I57" s="5">
        <f>$C$13-($C$6*C57)-($C$7*E57)</f>
        <v>0</v>
      </c>
    </row>
    <row r="58" spans="1:9">
      <c r="A58" s="1"/>
      <c r="I58" s="5"/>
    </row>
    <row r="59" spans="1:9">
      <c r="A59" t="s">
        <v>19</v>
      </c>
      <c r="C59">
        <f>IF(C57&gt;0,INT($C$12/($C$7+$C$17)),0)</f>
        <v>0</v>
      </c>
      <c r="G59" t="s">
        <v>23</v>
      </c>
      <c r="H59" s="40" t="str">
        <f>IF(Measure="MS","mm","inch")</f>
        <v>mm</v>
      </c>
      <c r="I59" s="5">
        <f>IF(C59=0,0,$C$12-(C59*$C$7))</f>
        <v>0</v>
      </c>
    </row>
    <row r="60" spans="1:9">
      <c r="A60" t="s">
        <v>20</v>
      </c>
      <c r="C60">
        <f>IF(E57&gt;0,INT($C$12/($C$6+$C$17)),0)</f>
        <v>0</v>
      </c>
      <c r="G60" t="s">
        <v>23</v>
      </c>
      <c r="H60" s="40" t="str">
        <f>IF(Measure="MS","mm","inch")</f>
        <v>mm</v>
      </c>
      <c r="I60" s="5">
        <f>IF(C60=0,0,$C$12-(C60*$C$6))</f>
        <v>0</v>
      </c>
    </row>
    <row r="61" spans="1:9">
      <c r="A61" s="1"/>
      <c r="I61" s="5"/>
    </row>
    <row r="62" spans="1:9">
      <c r="A62" t="s">
        <v>8</v>
      </c>
      <c r="C62">
        <f>$C$40*((C57*C59)+(E57*C60))</f>
        <v>0</v>
      </c>
      <c r="I62" s="5"/>
    </row>
    <row r="63" spans="1:9">
      <c r="A63" s="1"/>
      <c r="I63" s="5"/>
    </row>
    <row r="64" spans="1:9">
      <c r="A64" t="s">
        <v>26</v>
      </c>
      <c r="B64" s="40" t="str">
        <f>IF(Measure="MS","m3","cu.foot")</f>
        <v>m3</v>
      </c>
      <c r="C64" s="6">
        <f>$C$9*C62</f>
        <v>0</v>
      </c>
      <c r="I64" s="5"/>
    </row>
    <row r="65" spans="1:9">
      <c r="A65" t="s">
        <v>25</v>
      </c>
      <c r="B65" s="40" t="str">
        <f>IF(Measure="MS","m3","cu.foot")</f>
        <v>m3</v>
      </c>
      <c r="C65" s="7">
        <f>IF($C$40=0,$C$15,IF(Measure="MS",((I57*$C$12*$C$14)+(I59*$C$6*C57*$C$14)+(I60*$C$7*E57*$C$14)+((C62/$C$40)*$C$6*$C$7*$I$40))/1000/1000/1000,((I57*$C$12*$C$14)+(I59*$C$6*C57*$C$14)+(I60*$C$7*E57*$C$14)+((C62/$C$40)*$C$6*$C$7*$I$40))/12/12/12))</f>
        <v>0</v>
      </c>
      <c r="I65" s="5"/>
    </row>
    <row r="66" spans="1:9">
      <c r="B66" s="40" t="str">
        <f>IF(Measure="MS","m3","cu.foot")</f>
        <v>m3</v>
      </c>
      <c r="C66" s="6">
        <f>+C64+C65</f>
        <v>0</v>
      </c>
      <c r="I66" s="5"/>
    </row>
    <row r="67" spans="1:9">
      <c r="A67" t="s">
        <v>11</v>
      </c>
      <c r="B67" s="40" t="str">
        <f>IF(Measure="MS","m3","cu.foot")</f>
        <v>m3</v>
      </c>
      <c r="C67" s="7">
        <f>$C$15</f>
        <v>0</v>
      </c>
      <c r="I67" s="5"/>
    </row>
    <row r="68" spans="1:9">
      <c r="A68" t="s">
        <v>12</v>
      </c>
      <c r="B68" s="40" t="str">
        <f>IF(Measure="MS","m3","cu.foot")</f>
        <v>m3</v>
      </c>
      <c r="C68" s="6">
        <f>+C66-C67</f>
        <v>0</v>
      </c>
      <c r="I68" s="5"/>
    </row>
    <row r="69" spans="1:9">
      <c r="A69" s="1"/>
      <c r="I69" s="5"/>
    </row>
    <row r="70" spans="1:9">
      <c r="A70" s="1"/>
      <c r="I70" s="5"/>
    </row>
    <row r="71" spans="1:9">
      <c r="A71" s="9" t="s">
        <v>28</v>
      </c>
      <c r="C71">
        <f>INT($C$13/(($C$6+$C$17)*2))</f>
        <v>0</v>
      </c>
      <c r="D71" t="s">
        <v>15</v>
      </c>
      <c r="E71">
        <f>INT(($C$13-(C71*($C$6+$C$17)))/($C$7+$C$17))</f>
        <v>0</v>
      </c>
      <c r="F71" t="s">
        <v>14</v>
      </c>
      <c r="G71" t="s">
        <v>22</v>
      </c>
      <c r="H71" s="40" t="str">
        <f>IF(Measure="MS","mm","inch")</f>
        <v>mm</v>
      </c>
      <c r="I71" s="5">
        <f>$C$13-($C$6*C71)-($C$7*E71)</f>
        <v>0</v>
      </c>
    </row>
    <row r="72" spans="1:9">
      <c r="A72" s="1"/>
      <c r="I72" s="5"/>
    </row>
    <row r="73" spans="1:9">
      <c r="A73" t="s">
        <v>19</v>
      </c>
      <c r="C73">
        <f>IF(C71&gt;0,INT($C$12/($C$7+$C$17)),0)</f>
        <v>0</v>
      </c>
      <c r="G73" t="s">
        <v>23</v>
      </c>
      <c r="H73" s="40" t="str">
        <f>IF(Measure="MS","mm","inch")</f>
        <v>mm</v>
      </c>
      <c r="I73" s="5">
        <f>IF(C73=0,0,$C$12-(C73*$C$7))</f>
        <v>0</v>
      </c>
    </row>
    <row r="74" spans="1:9">
      <c r="A74" t="s">
        <v>20</v>
      </c>
      <c r="C74">
        <f>IF(E71&gt;0,INT($C$12/($C$6+$C$17)),0)</f>
        <v>0</v>
      </c>
      <c r="G74" t="s">
        <v>23</v>
      </c>
      <c r="H74" s="40" t="str">
        <f>IF(Measure="MS","mm","inch")</f>
        <v>mm</v>
      </c>
      <c r="I74" s="5">
        <f>IF(C74=0,0,$C$12-(C74*$C$6))</f>
        <v>0</v>
      </c>
    </row>
    <row r="75" spans="1:9">
      <c r="A75" s="1"/>
      <c r="I75" s="5"/>
    </row>
    <row r="76" spans="1:9">
      <c r="A76" t="s">
        <v>8</v>
      </c>
      <c r="C76">
        <f>$C$40*((C71*C73)+(E71*C74))</f>
        <v>0</v>
      </c>
      <c r="I76" s="5"/>
    </row>
    <row r="77" spans="1:9">
      <c r="A77" s="1"/>
      <c r="I77" s="5"/>
    </row>
    <row r="78" spans="1:9">
      <c r="A78" t="s">
        <v>26</v>
      </c>
      <c r="B78" s="40" t="str">
        <f>IF(Measure="MS","m3","cu.foot")</f>
        <v>m3</v>
      </c>
      <c r="C78" s="6">
        <f>$C$9*C76</f>
        <v>0</v>
      </c>
      <c r="I78" s="5"/>
    </row>
    <row r="79" spans="1:9">
      <c r="A79" t="s">
        <v>25</v>
      </c>
      <c r="B79" s="40" t="str">
        <f>IF(Measure="MS","m3","cu.foot")</f>
        <v>m3</v>
      </c>
      <c r="C79" s="7">
        <f>IF($C$40=0,$C$15,IF(Measure="MS",((I71*$C$12*$C$14)+(I73*$C$6*C71*$C$14)+(I74*$C$7*E71*$C$14)+((C76/$C$40)*$C$6*$C$7*$I$40))/1000/1000/1000,((I71*$C$12*$C$14)+(I73*$C$6*C71*$C$14)+(I74*$C$7*E71*$C$14)+((C76/$C$40)*$C$6*$C$7*$I$40))/12/12/12))</f>
        <v>0</v>
      </c>
      <c r="I79" s="5"/>
    </row>
    <row r="80" spans="1:9">
      <c r="B80" s="40" t="str">
        <f>IF(Measure="MS","m3","cu.foot")</f>
        <v>m3</v>
      </c>
      <c r="C80" s="6">
        <f>+C78+C79</f>
        <v>0</v>
      </c>
      <c r="I80" s="5"/>
    </row>
    <row r="81" spans="1:9">
      <c r="A81" t="s">
        <v>11</v>
      </c>
      <c r="B81" s="40" t="str">
        <f>IF(Measure="MS","m3","cu.foot")</f>
        <v>m3</v>
      </c>
      <c r="C81" s="7">
        <f>$C$15</f>
        <v>0</v>
      </c>
      <c r="I81" s="5"/>
    </row>
    <row r="82" spans="1:9">
      <c r="A82" t="s">
        <v>12</v>
      </c>
      <c r="B82" s="40" t="str">
        <f>IF(Measure="MS","m3","cu.foot")</f>
        <v>m3</v>
      </c>
      <c r="C82" s="6">
        <f>+C80-C81</f>
        <v>0</v>
      </c>
      <c r="I82" s="5"/>
    </row>
    <row r="83" spans="1:9">
      <c r="A83" s="1"/>
      <c r="I83" s="5"/>
    </row>
    <row r="84" spans="1:9">
      <c r="A84" s="1"/>
      <c r="I84" s="5"/>
    </row>
    <row r="85" spans="1:9">
      <c r="A85" s="9" t="s">
        <v>29</v>
      </c>
      <c r="C85">
        <f>INT($C$13/(($C$6+$C$17)*3))</f>
        <v>0</v>
      </c>
      <c r="D85" t="s">
        <v>15</v>
      </c>
      <c r="E85">
        <f>INT(($C$13-(C85*($C$6+$C$17)))/($C$7+$C$17))</f>
        <v>0</v>
      </c>
      <c r="F85" t="s">
        <v>14</v>
      </c>
      <c r="G85" t="s">
        <v>22</v>
      </c>
      <c r="H85" s="40" t="str">
        <f>IF(Measure="MS","mm","inch")</f>
        <v>mm</v>
      </c>
      <c r="I85" s="5">
        <f>$C$13-($C$6*C85)-($C$7*E85)</f>
        <v>0</v>
      </c>
    </row>
    <row r="86" spans="1:9">
      <c r="A86" s="1"/>
      <c r="I86" s="5"/>
    </row>
    <row r="87" spans="1:9">
      <c r="A87" t="s">
        <v>19</v>
      </c>
      <c r="C87">
        <f>IF(C85&gt;0,INT($C$12/($C$7+$C$17)),0)</f>
        <v>0</v>
      </c>
      <c r="G87" t="s">
        <v>23</v>
      </c>
      <c r="H87" s="40" t="str">
        <f>IF(Measure="MS","mm","inch")</f>
        <v>mm</v>
      </c>
      <c r="I87" s="5">
        <f>IF(C87=0,0,$C$12-(C87*$C$7))</f>
        <v>0</v>
      </c>
    </row>
    <row r="88" spans="1:9">
      <c r="A88" t="s">
        <v>20</v>
      </c>
      <c r="C88">
        <f>IF(E85&gt;0,INT($C$12/($C$6+$C$17)),0)</f>
        <v>0</v>
      </c>
      <c r="G88" t="s">
        <v>23</v>
      </c>
      <c r="H88" s="40" t="str">
        <f>IF(Measure="MS","mm","inch")</f>
        <v>mm</v>
      </c>
      <c r="I88" s="5">
        <f>IF(C88=0,0,$C$12-(C88*$C$6))</f>
        <v>0</v>
      </c>
    </row>
    <row r="89" spans="1:9">
      <c r="A89" s="1"/>
      <c r="I89" s="5"/>
    </row>
    <row r="90" spans="1:9">
      <c r="A90" t="s">
        <v>8</v>
      </c>
      <c r="C90">
        <f>$C$40*((C85*C87)+(E85*C88))</f>
        <v>0</v>
      </c>
      <c r="I90" s="5"/>
    </row>
    <row r="91" spans="1:9">
      <c r="A91" s="1"/>
      <c r="I91" s="5"/>
    </row>
    <row r="92" spans="1:9">
      <c r="A92" t="s">
        <v>26</v>
      </c>
      <c r="B92" s="40" t="str">
        <f>IF(Measure="MS","m3","cu.foot")</f>
        <v>m3</v>
      </c>
      <c r="C92" s="6">
        <f>$C$9*C90</f>
        <v>0</v>
      </c>
      <c r="I92" s="5"/>
    </row>
    <row r="93" spans="1:9">
      <c r="A93" t="s">
        <v>25</v>
      </c>
      <c r="B93" s="40" t="str">
        <f>IF(Measure="MS","m3","cu.foot")</f>
        <v>m3</v>
      </c>
      <c r="C93" s="7">
        <f>IF($C$40=0,$C$15,IF(Measure="MS",((I85*$C$12*$C$14)+(I87*$C$6*C85*$C$14)+(I88*$C$7*E85*$C$14)+((C90/$C$40)*$C$6*$C$7*$I$40))/1000/1000/1000,((I85*$C$12*$C$14)+(I87*$C$6*C85*$C$14)+(I88*$C$7*E85*$C$14)+((C90/$C$40)*$C$6*$C$7*$I$40))/12/12/12))</f>
        <v>0</v>
      </c>
      <c r="I93" s="5"/>
    </row>
    <row r="94" spans="1:9">
      <c r="B94" s="40" t="str">
        <f>IF(Measure="MS","m3","cu.foot")</f>
        <v>m3</v>
      </c>
      <c r="C94" s="6">
        <f>+C92+C93</f>
        <v>0</v>
      </c>
      <c r="I94" s="5"/>
    </row>
    <row r="95" spans="1:9">
      <c r="A95" t="s">
        <v>11</v>
      </c>
      <c r="B95" s="40" t="str">
        <f>IF(Measure="MS","m3","cu.foot")</f>
        <v>m3</v>
      </c>
      <c r="C95" s="7">
        <f>$C$15</f>
        <v>0</v>
      </c>
      <c r="I95" s="5"/>
    </row>
    <row r="96" spans="1:9">
      <c r="A96" t="s">
        <v>12</v>
      </c>
      <c r="B96" s="40" t="str">
        <f>IF(Measure="MS","m3","cu.foot")</f>
        <v>m3</v>
      </c>
      <c r="C96" s="6">
        <f>+C94-C95</f>
        <v>0</v>
      </c>
      <c r="I96" s="5"/>
    </row>
    <row r="97" spans="1:9">
      <c r="A97" s="1"/>
      <c r="I97" s="5"/>
    </row>
    <row r="99" spans="1:9">
      <c r="A99" s="9" t="s">
        <v>30</v>
      </c>
      <c r="C99">
        <f>INT($C$13/(($C$6+$C$17)*4))</f>
        <v>0</v>
      </c>
      <c r="D99" t="s">
        <v>15</v>
      </c>
      <c r="E99">
        <f>INT(($C$13-(C99*($C$6+$C$17)))/($C$7+$C$17))</f>
        <v>0</v>
      </c>
      <c r="F99" t="s">
        <v>14</v>
      </c>
      <c r="G99" t="s">
        <v>22</v>
      </c>
      <c r="H99" s="40" t="str">
        <f>IF(Measure="MS","mm","inch")</f>
        <v>mm</v>
      </c>
      <c r="I99" s="5">
        <f>$C$13-($C$6*C99)-($C$7*E99)</f>
        <v>0</v>
      </c>
    </row>
    <row r="100" spans="1:9">
      <c r="A100" s="1"/>
      <c r="I100" s="5"/>
    </row>
    <row r="101" spans="1:9">
      <c r="A101" t="s">
        <v>19</v>
      </c>
      <c r="C101">
        <f>IF(C99&gt;0,INT($C$12/($C$7+$C$17)),0)</f>
        <v>0</v>
      </c>
      <c r="G101" t="s">
        <v>23</v>
      </c>
      <c r="H101" s="40" t="str">
        <f>IF(Measure="MS","mm","inch")</f>
        <v>mm</v>
      </c>
      <c r="I101" s="5">
        <f>IF(C101=0,0,$C$12-(C101*$C$7))</f>
        <v>0</v>
      </c>
    </row>
    <row r="102" spans="1:9">
      <c r="A102" t="s">
        <v>20</v>
      </c>
      <c r="C102">
        <f>IF(E99&gt;0,INT($C$12/($C$6+$C$17)),0)</f>
        <v>0</v>
      </c>
      <c r="G102" t="s">
        <v>23</v>
      </c>
      <c r="H102" s="40" t="str">
        <f>IF(Measure="MS","mm","inch")</f>
        <v>mm</v>
      </c>
      <c r="I102" s="5">
        <f>IF(C102=0,0,$C$12-(C102*$C$6))</f>
        <v>0</v>
      </c>
    </row>
    <row r="103" spans="1:9">
      <c r="A103" s="1"/>
      <c r="I103" s="5"/>
    </row>
    <row r="104" spans="1:9">
      <c r="A104" t="s">
        <v>8</v>
      </c>
      <c r="C104">
        <f>$C$40*((C99*C101)+(E99*C102))</f>
        <v>0</v>
      </c>
      <c r="I104" s="5"/>
    </row>
    <row r="105" spans="1:9">
      <c r="A105" s="1"/>
      <c r="I105" s="5"/>
    </row>
    <row r="106" spans="1:9">
      <c r="A106" t="s">
        <v>26</v>
      </c>
      <c r="B106" s="40" t="str">
        <f>IF(Measure="MS","m3","cu.foot")</f>
        <v>m3</v>
      </c>
      <c r="C106" s="6">
        <f>$C$9*C104</f>
        <v>0</v>
      </c>
      <c r="I106" s="5"/>
    </row>
    <row r="107" spans="1:9">
      <c r="A107" t="s">
        <v>25</v>
      </c>
      <c r="B107" s="40" t="str">
        <f>IF(Measure="MS","m3","cu.foot")</f>
        <v>m3</v>
      </c>
      <c r="C107" s="7">
        <f>IF($C$40=0,$C$15,IF(Measure="MS",((I99*$C$12*$C$14)+(I101*$C$6*C99*$C$14)+(I102*$C$7*E99*$C$14)+((C104/$C$40)*$C$6*$C$7*$I$40))/1000/1000/1000,((I99*$C$12*$C$14)+(I101*$C$6*C99*$C$14)+(I102*$C$7*E99*$C$14)+((C104/$C$40)*$C$6*$C$7*$I$40))/12/12/12))</f>
        <v>0</v>
      </c>
      <c r="I107" s="5"/>
    </row>
    <row r="108" spans="1:9">
      <c r="B108" s="40" t="str">
        <f>IF(Measure="MS","m3","cu.foot")</f>
        <v>m3</v>
      </c>
      <c r="C108" s="6">
        <f>+C106+C107</f>
        <v>0</v>
      </c>
      <c r="I108" s="5"/>
    </row>
    <row r="109" spans="1:9">
      <c r="A109" t="s">
        <v>11</v>
      </c>
      <c r="B109" s="40" t="str">
        <f>IF(Measure="MS","m3","cu.foot")</f>
        <v>m3</v>
      </c>
      <c r="C109" s="7">
        <f>$C$15</f>
        <v>0</v>
      </c>
      <c r="I109" s="5"/>
    </row>
    <row r="110" spans="1:9">
      <c r="A110" t="s">
        <v>12</v>
      </c>
      <c r="B110" s="40" t="str">
        <f>IF(Measure="MS","m3","cu.foot")</f>
        <v>m3</v>
      </c>
      <c r="C110" s="6">
        <f>+C108-C109</f>
        <v>0</v>
      </c>
      <c r="I110" s="5"/>
    </row>
    <row r="113" spans="1:9">
      <c r="A113" s="9" t="s">
        <v>31</v>
      </c>
      <c r="C113">
        <f>INT($C$13/(($C$6+$C$17)*5))</f>
        <v>0</v>
      </c>
      <c r="D113" t="s">
        <v>15</v>
      </c>
      <c r="E113">
        <f>INT(($C$13-(C113*($C$6+$C$17)))/($C$7+$C$17))</f>
        <v>0</v>
      </c>
      <c r="F113" t="s">
        <v>14</v>
      </c>
      <c r="G113" t="s">
        <v>22</v>
      </c>
      <c r="H113" s="40" t="str">
        <f>IF(Measure="MS","mm","inch")</f>
        <v>mm</v>
      </c>
      <c r="I113" s="5">
        <f>$C$13-($C$6*C113)-($C$7*E113)</f>
        <v>0</v>
      </c>
    </row>
    <row r="114" spans="1:9">
      <c r="A114" s="1"/>
      <c r="I114" s="5"/>
    </row>
    <row r="115" spans="1:9">
      <c r="A115" t="s">
        <v>19</v>
      </c>
      <c r="C115">
        <f>IF(C113&gt;0,INT($C$12/($C$7+$C$17)),0)</f>
        <v>0</v>
      </c>
      <c r="G115" t="s">
        <v>23</v>
      </c>
      <c r="H115" s="40" t="str">
        <f>IF(Measure="MS","mm","inch")</f>
        <v>mm</v>
      </c>
      <c r="I115" s="5">
        <f>IF(C115=0,0,$C$12-(C115*$C$7))</f>
        <v>0</v>
      </c>
    </row>
    <row r="116" spans="1:9">
      <c r="A116" t="s">
        <v>20</v>
      </c>
      <c r="C116">
        <f>IF(E113&gt;0,INT($C$12/($C$6+$C$17)),0)</f>
        <v>0</v>
      </c>
      <c r="G116" t="s">
        <v>23</v>
      </c>
      <c r="H116" s="40" t="str">
        <f>IF(Measure="MS","mm","inch")</f>
        <v>mm</v>
      </c>
      <c r="I116" s="5">
        <f>IF(C116=0,0,$C$12-(C116*$C$6))</f>
        <v>0</v>
      </c>
    </row>
    <row r="117" spans="1:9">
      <c r="A117" s="1"/>
      <c r="I117" s="5"/>
    </row>
    <row r="118" spans="1:9">
      <c r="A118" t="s">
        <v>8</v>
      </c>
      <c r="C118">
        <f>$C$40*((C113*C115)+(E113*C116))</f>
        <v>0</v>
      </c>
      <c r="I118" s="5"/>
    </row>
    <row r="119" spans="1:9">
      <c r="A119" s="1"/>
      <c r="I119" s="5"/>
    </row>
    <row r="120" spans="1:9">
      <c r="A120" t="s">
        <v>26</v>
      </c>
      <c r="B120" s="40" t="str">
        <f>IF(Measure="MS","m3","cu.foot")</f>
        <v>m3</v>
      </c>
      <c r="C120" s="6">
        <f>$C$9*C118</f>
        <v>0</v>
      </c>
      <c r="I120" s="5"/>
    </row>
    <row r="121" spans="1:9">
      <c r="A121" t="s">
        <v>25</v>
      </c>
      <c r="B121" s="40" t="str">
        <f>IF(Measure="MS","m3","cu.foot")</f>
        <v>m3</v>
      </c>
      <c r="C121" s="7">
        <f>IF($C$40=0,$C$15,IF(Measure="MS",((I113*$C$12*$C$14)+(I115*$C$6*C113*$C$14)+(I116*$C$7*E113*$C$14)+((C118/$C$40)*$C$6*$C$7*$I$40))/1000/1000/1000,((I113*$C$12*$C$14)+(I115*$C$6*C113*$C$14)+(I116*$C$7*E113*$C$14)+((C118/$C$40)*$C$6*$C$7*$I$40))/12/12/12))</f>
        <v>0</v>
      </c>
      <c r="I121" s="5"/>
    </row>
    <row r="122" spans="1:9">
      <c r="B122" s="40" t="str">
        <f>IF(Measure="MS","m3","cu.foot")</f>
        <v>m3</v>
      </c>
      <c r="C122" s="6">
        <f>+C120+C121</f>
        <v>0</v>
      </c>
      <c r="I122" s="5"/>
    </row>
    <row r="123" spans="1:9">
      <c r="A123" t="s">
        <v>11</v>
      </c>
      <c r="B123" s="40" t="str">
        <f>IF(Measure="MS","m3","cu.foot")</f>
        <v>m3</v>
      </c>
      <c r="C123" s="7">
        <f>$C$15</f>
        <v>0</v>
      </c>
      <c r="I123" s="5"/>
    </row>
    <row r="124" spans="1:9">
      <c r="A124" t="s">
        <v>12</v>
      </c>
      <c r="B124" s="40" t="str">
        <f>IF(Measure="MS","m3","cu.foot")</f>
        <v>m3</v>
      </c>
      <c r="C124" s="6">
        <f>+C122-C123</f>
        <v>0</v>
      </c>
      <c r="I124" s="5"/>
    </row>
    <row r="127" spans="1:9">
      <c r="A127" s="9" t="s">
        <v>84</v>
      </c>
      <c r="C127">
        <f>INT($C$13/(($C$6+$C$17)*6))</f>
        <v>0</v>
      </c>
      <c r="D127" t="s">
        <v>15</v>
      </c>
      <c r="E127">
        <f>INT(($C$13-(C127*($C$6+$C$17)))/($C$7+$C$17))</f>
        <v>0</v>
      </c>
      <c r="F127" t="s">
        <v>14</v>
      </c>
      <c r="G127" t="s">
        <v>22</v>
      </c>
      <c r="H127" s="40" t="str">
        <f>IF(Measure="MS","mm","inch")</f>
        <v>mm</v>
      </c>
      <c r="I127" s="5">
        <f>$C$13-($C$6*C127)-($C$7*E127)</f>
        <v>0</v>
      </c>
    </row>
    <row r="128" spans="1:9">
      <c r="A128" s="1"/>
      <c r="I128" s="5"/>
    </row>
    <row r="129" spans="1:9">
      <c r="A129" t="s">
        <v>19</v>
      </c>
      <c r="C129">
        <f>IF(C127&gt;0,INT($C$12/($C$7+$C$17)),0)</f>
        <v>0</v>
      </c>
      <c r="G129" t="s">
        <v>23</v>
      </c>
      <c r="H129" s="40" t="str">
        <f>IF(Measure="MS","mm","inch")</f>
        <v>mm</v>
      </c>
      <c r="I129" s="5">
        <f>IF(C129=0,0,$C$12-(C129*$C$7))</f>
        <v>0</v>
      </c>
    </row>
    <row r="130" spans="1:9">
      <c r="A130" t="s">
        <v>20</v>
      </c>
      <c r="C130">
        <f>IF(E127&gt;0,INT($C$12/($C$6+$C$17)),0)</f>
        <v>0</v>
      </c>
      <c r="G130" t="s">
        <v>23</v>
      </c>
      <c r="H130" s="40" t="str">
        <f>IF(Measure="MS","mm","inch")</f>
        <v>mm</v>
      </c>
      <c r="I130" s="5">
        <f>IF(C130=0,0,$C$12-(C130*$C$6))</f>
        <v>0</v>
      </c>
    </row>
    <row r="131" spans="1:9">
      <c r="A131" s="1"/>
      <c r="I131" s="5"/>
    </row>
    <row r="132" spans="1:9">
      <c r="A132" t="s">
        <v>8</v>
      </c>
      <c r="C132">
        <f>$C$40*((C127*C129)+(E127*C130))</f>
        <v>0</v>
      </c>
      <c r="I132" s="5"/>
    </row>
    <row r="133" spans="1:9">
      <c r="A133" s="1"/>
      <c r="I133" s="5"/>
    </row>
    <row r="134" spans="1:9">
      <c r="A134" t="s">
        <v>26</v>
      </c>
      <c r="B134" s="40" t="str">
        <f>IF(Measure="MS","m3","cu.foot")</f>
        <v>m3</v>
      </c>
      <c r="C134" s="6">
        <f>$C$9*C132</f>
        <v>0</v>
      </c>
      <c r="I134" s="5"/>
    </row>
    <row r="135" spans="1:9">
      <c r="A135" t="s">
        <v>25</v>
      </c>
      <c r="B135" s="40" t="str">
        <f>IF(Measure="MS","m3","cu.foot")</f>
        <v>m3</v>
      </c>
      <c r="C135" s="7">
        <f>IF($C$40=0,$C$15,IF(Measure="MS",((I127*$C$12*$C$14)+(I129*$C$6*C127*$C$14)+(I130*$C$7*E127*$C$14)+((C132/$C$40)*$C$6*$C$7*$I$40))/1000/1000/1000,((I127*$C$12*$C$14)+(I129*$C$6*C127*$C$14)+(I130*$C$7*E127*$C$14)+((C132/$C$40)*$C$6*$C$7*$I$40))/12/12/12))</f>
        <v>0</v>
      </c>
      <c r="I135" s="5"/>
    </row>
    <row r="136" spans="1:9">
      <c r="B136" s="40" t="str">
        <f>IF(Measure="MS","m3","cu.foot")</f>
        <v>m3</v>
      </c>
      <c r="C136" s="6">
        <f>+C134+C135</f>
        <v>0</v>
      </c>
      <c r="I136" s="5"/>
    </row>
    <row r="137" spans="1:9">
      <c r="A137" t="s">
        <v>11</v>
      </c>
      <c r="B137" s="40" t="str">
        <f>IF(Measure="MS","m3","cu.foot")</f>
        <v>m3</v>
      </c>
      <c r="C137" s="7">
        <f>$C$15</f>
        <v>0</v>
      </c>
      <c r="I137" s="5"/>
    </row>
    <row r="138" spans="1:9">
      <c r="A138" t="s">
        <v>12</v>
      </c>
      <c r="B138" s="40" t="str">
        <f>IF(Measure="MS","m3","cu.foot")</f>
        <v>m3</v>
      </c>
      <c r="C138" s="6">
        <f>+C136-C137</f>
        <v>0</v>
      </c>
      <c r="I138" s="5"/>
    </row>
    <row r="141" spans="1:9">
      <c r="A141" t="s">
        <v>32</v>
      </c>
      <c r="C141">
        <f>IF(C54+C68+C82+C96+C110+C124+C138=0,MAX(C48,C62,C76,C90,C104,C118,C138),"Failure in calculation")</f>
        <v>0</v>
      </c>
    </row>
  </sheetData>
  <sheetProtection password="C861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137</vt:i4>
      </vt:variant>
    </vt:vector>
  </HeadingPairs>
  <TitlesOfParts>
    <vt:vector size="148" baseType="lpstr">
      <vt:lpstr>Setup</vt:lpstr>
      <vt:lpstr>Data collection</vt:lpstr>
      <vt:lpstr>Calculation</vt:lpstr>
      <vt:lpstr>Report</vt:lpstr>
      <vt:lpstr>Globals</vt:lpstr>
      <vt:lpstr>Trans.dim.</vt:lpstr>
      <vt:lpstr>S2_send</vt:lpstr>
      <vt:lpstr>S1_send</vt:lpstr>
      <vt:lpstr>S2_return</vt:lpstr>
      <vt:lpstr>S1-return</vt:lpstr>
      <vt:lpstr>Companies</vt:lpstr>
      <vt:lpstr>Blank</vt:lpstr>
      <vt:lpstr>CL_address1</vt:lpstr>
      <vt:lpstr>CL_address2</vt:lpstr>
      <vt:lpstr>CL_contact</vt:lpstr>
      <vt:lpstr>CL_country</vt:lpstr>
      <vt:lpstr>CL_fax</vt:lpstr>
      <vt:lpstr>CL_name</vt:lpstr>
      <vt:lpstr>CL_phone</vt:lpstr>
      <vt:lpstr>CL_town</vt:lpstr>
      <vt:lpstr>CL_zip</vt:lpstr>
      <vt:lpstr>Companies</vt:lpstr>
      <vt:lpstr>Currency</vt:lpstr>
      <vt:lpstr>Cust_name</vt:lpstr>
      <vt:lpstr>Cust_project</vt:lpstr>
      <vt:lpstr>Days_year</vt:lpstr>
      <vt:lpstr>Item_cost</vt:lpstr>
      <vt:lpstr>Item_descrip</vt:lpstr>
      <vt:lpstr>Item_weight</vt:lpstr>
      <vt:lpstr>Measure</vt:lpstr>
      <vt:lpstr>Notype</vt:lpstr>
      <vt:lpstr>Page_length</vt:lpstr>
      <vt:lpstr>S1_batch_method</vt:lpstr>
      <vt:lpstr>S1_batch_size</vt:lpstr>
      <vt:lpstr>S1_box</vt:lpstr>
      <vt:lpstr>S1_box_bh</vt:lpstr>
      <vt:lpstr>S1_box_ch</vt:lpstr>
      <vt:lpstr>S1_box_cost_assem</vt:lpstr>
      <vt:lpstr>S1_box_cost_main</vt:lpstr>
      <vt:lpstr>S1_box_cost_return</vt:lpstr>
      <vt:lpstr>S1_box_cost_send</vt:lpstr>
      <vt:lpstr>S1_box_h</vt:lpstr>
      <vt:lpstr>S1_box_hand</vt:lpstr>
      <vt:lpstr>S1_box_item</vt:lpstr>
      <vt:lpstr>S1_box_l</vt:lpstr>
      <vt:lpstr>S1_box_lease</vt:lpstr>
      <vt:lpstr>S1_box_mt</vt:lpstr>
      <vt:lpstr>S1_box_price</vt:lpstr>
      <vt:lpstr>S1_box_trans_return</vt:lpstr>
      <vt:lpstr>S1_box_trans_send</vt:lpstr>
      <vt:lpstr>S1_box_vol</vt:lpstr>
      <vt:lpstr>S1_box_w</vt:lpstr>
      <vt:lpstr>S1_box_weight</vt:lpstr>
      <vt:lpstr>S1_cost_return</vt:lpstr>
      <vt:lpstr>S1_cost_send</vt:lpstr>
      <vt:lpstr>S1_damage</vt:lpstr>
      <vt:lpstr>S1_descrip</vt:lpstr>
      <vt:lpstr>S1_return_2w</vt:lpstr>
      <vt:lpstr>S1_return_4w</vt:lpstr>
      <vt:lpstr>S1_return_h</vt:lpstr>
      <vt:lpstr>S1_return_hand</vt:lpstr>
      <vt:lpstr>S1_return_l</vt:lpstr>
      <vt:lpstr>S1_return_vol</vt:lpstr>
      <vt:lpstr>S1_return_w</vt:lpstr>
      <vt:lpstr>S1_return_weight</vt:lpstr>
      <vt:lpstr>S1_send_2w</vt:lpstr>
      <vt:lpstr>S1_send_4w</vt:lpstr>
      <vt:lpstr>S1_send_h</vt:lpstr>
      <vt:lpstr>S1_send_hand</vt:lpstr>
      <vt:lpstr>S1_send_l</vt:lpstr>
      <vt:lpstr>S1_send_vol</vt:lpstr>
      <vt:lpstr>S1_send_w</vt:lpstr>
      <vt:lpstr>S1_send_weight</vt:lpstr>
      <vt:lpstr>S1_stat</vt:lpstr>
      <vt:lpstr>S1_time_hand</vt:lpstr>
      <vt:lpstr>S1_time_receiver</vt:lpstr>
      <vt:lpstr>S1_time_return</vt:lpstr>
      <vt:lpstr>S1_time_send</vt:lpstr>
      <vt:lpstr>S1_time_total</vt:lpstr>
      <vt:lpstr>S1_tolerance</vt:lpstr>
      <vt:lpstr>S1_trans_return</vt:lpstr>
      <vt:lpstr>S1_trans_send</vt:lpstr>
      <vt:lpstr>S1_trip</vt:lpstr>
      <vt:lpstr>S1_type</vt:lpstr>
      <vt:lpstr>S1_type_return</vt:lpstr>
      <vt:lpstr>S1_type_send</vt:lpstr>
      <vt:lpstr>S2_batch_method</vt:lpstr>
      <vt:lpstr>S2_batch_size</vt:lpstr>
      <vt:lpstr>S2_box</vt:lpstr>
      <vt:lpstr>S2_box_bh</vt:lpstr>
      <vt:lpstr>S2_box_ch</vt:lpstr>
      <vt:lpstr>S2_box_cost_assem</vt:lpstr>
      <vt:lpstr>S2_box_cost_main</vt:lpstr>
      <vt:lpstr>S2_box_cost_return</vt:lpstr>
      <vt:lpstr>S2_box_cost_send</vt:lpstr>
      <vt:lpstr>S2_box_h</vt:lpstr>
      <vt:lpstr>S2_box_hand</vt:lpstr>
      <vt:lpstr>S2_box_item</vt:lpstr>
      <vt:lpstr>S2_box_l</vt:lpstr>
      <vt:lpstr>S2_box_lease</vt:lpstr>
      <vt:lpstr>S2_box_mt</vt:lpstr>
      <vt:lpstr>S2_box_price</vt:lpstr>
      <vt:lpstr>S2_box_trans_return</vt:lpstr>
      <vt:lpstr>S2_box_trans_send</vt:lpstr>
      <vt:lpstr>S2_box_vol</vt:lpstr>
      <vt:lpstr>S2_box_w</vt:lpstr>
      <vt:lpstr>S2_box_weight</vt:lpstr>
      <vt:lpstr>S2_cost_return</vt:lpstr>
      <vt:lpstr>S2_cost_send</vt:lpstr>
      <vt:lpstr>S2_damage</vt:lpstr>
      <vt:lpstr>S2_descrip</vt:lpstr>
      <vt:lpstr>S2_return_2w</vt:lpstr>
      <vt:lpstr>S2_return_4w</vt:lpstr>
      <vt:lpstr>S2_return_h</vt:lpstr>
      <vt:lpstr>S2_return_hand</vt:lpstr>
      <vt:lpstr>S2_return_l</vt:lpstr>
      <vt:lpstr>S2_return_vol</vt:lpstr>
      <vt:lpstr>S2_return_w</vt:lpstr>
      <vt:lpstr>S2_return_weight</vt:lpstr>
      <vt:lpstr>S2_send_2w</vt:lpstr>
      <vt:lpstr>S2_send_4w</vt:lpstr>
      <vt:lpstr>S2_send_h</vt:lpstr>
      <vt:lpstr>S2_send_hand</vt:lpstr>
      <vt:lpstr>S2_send_l</vt:lpstr>
      <vt:lpstr>S2_send_vol</vt:lpstr>
      <vt:lpstr>S2_send_w</vt:lpstr>
      <vt:lpstr>S2_send_weight</vt:lpstr>
      <vt:lpstr>S2_stat</vt:lpstr>
      <vt:lpstr>S2_time_hand</vt:lpstr>
      <vt:lpstr>S2_time_receiver</vt:lpstr>
      <vt:lpstr>S2_time_return</vt:lpstr>
      <vt:lpstr>S2_time_send</vt:lpstr>
      <vt:lpstr>S2_time_total</vt:lpstr>
      <vt:lpstr>S2_tolerance</vt:lpstr>
      <vt:lpstr>S2_trans_return</vt:lpstr>
      <vt:lpstr>S2_trans_send</vt:lpstr>
      <vt:lpstr>S2_trip</vt:lpstr>
      <vt:lpstr>S2_type</vt:lpstr>
      <vt:lpstr>S2_type_return</vt:lpstr>
      <vt:lpstr>S2_type_send</vt:lpstr>
      <vt:lpstr>Study_date</vt:lpstr>
      <vt:lpstr>Study_ver</vt:lpstr>
      <vt:lpstr>Transport_dim</vt:lpstr>
      <vt:lpstr>Calculation!Udskriftsområde</vt:lpstr>
      <vt:lpstr>'Data collection'!Udskriftsområde</vt:lpstr>
      <vt:lpstr>Report!Udskriftsområde</vt:lpstr>
      <vt:lpstr>Calculation!Udskriftstitler</vt:lpstr>
      <vt:lpstr>'Data collection'!Udskriftstitler</vt:lpstr>
    </vt:vector>
  </TitlesOfParts>
  <Company>AL-emballage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HB</cp:lastModifiedBy>
  <cp:lastPrinted>2017-09-08T16:36:57Z</cp:lastPrinted>
  <dcterms:created xsi:type="dcterms:W3CDTF">2007-08-22T10:26:31Z</dcterms:created>
  <dcterms:modified xsi:type="dcterms:W3CDTF">2017-09-08T16:54:18Z</dcterms:modified>
</cp:coreProperties>
</file>